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G58" i="11"/>
  <c r="J73" i="8"/>
  <c r="H7" i="9"/>
  <c r="H31" i="15"/>
  <c r="H102" i="15"/>
  <c r="H108" i="15"/>
  <c r="H113" i="15"/>
  <c r="H43" i="15"/>
  <c r="H47" i="15"/>
  <c r="H116" i="15"/>
  <c r="H48" i="15"/>
  <c r="H117" i="15"/>
  <c r="H118" i="15"/>
  <c r="H129" i="15"/>
  <c r="H135" i="15"/>
  <c r="H140" i="15"/>
  <c r="H143" i="15"/>
  <c r="H144" i="15"/>
  <c r="H145" i="15"/>
  <c r="H179" i="15"/>
  <c r="H42" i="9"/>
  <c r="H47" i="9"/>
  <c r="H52" i="9"/>
  <c r="H55" i="9"/>
  <c r="H60" i="9"/>
  <c r="H65" i="9"/>
  <c r="H70" i="9"/>
  <c r="H73" i="9"/>
  <c r="H176" i="15"/>
  <c r="H182" i="15"/>
  <c r="H185" i="15"/>
  <c r="AJ73" i="8"/>
  <c r="AH7" i="9"/>
  <c r="D30" i="5"/>
  <c r="C30" i="5"/>
  <c r="B80" i="8"/>
  <c r="C80" i="8"/>
  <c r="D80" i="8"/>
  <c r="E80" i="8"/>
  <c r="F80" i="8"/>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G54"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H16" i="15"/>
  <c r="Z13" i="15"/>
  <c r="Z14" i="15"/>
  <c r="N13" i="15"/>
  <c r="N14" i="15"/>
  <c r="D17" i="5"/>
  <c r="P73" i="8"/>
  <c r="N7" i="9"/>
  <c r="N18" i="9"/>
  <c r="D11" i="5"/>
  <c r="C17" i="5"/>
  <c r="F17" i="5"/>
  <c r="X13" i="15"/>
  <c r="X14" i="15"/>
  <c r="X34" i="15"/>
  <c r="D35" i="5"/>
  <c r="C35" i="5"/>
  <c r="Z73" i="8"/>
  <c r="X7" i="9"/>
  <c r="D29" i="5"/>
  <c r="C29" i="5"/>
  <c r="D28" i="5"/>
  <c r="C28" i="5"/>
  <c r="F35" i="5"/>
  <c r="X26" i="15"/>
  <c r="X31" i="15"/>
  <c r="D36" i="5"/>
  <c r="C36" i="5"/>
  <c r="F36" i="5"/>
  <c r="X18" i="15"/>
  <c r="X32" i="15"/>
  <c r="D19" i="5"/>
  <c r="C19" i="5"/>
  <c r="F19" i="5"/>
  <c r="X35" i="15"/>
  <c r="D20" i="5"/>
  <c r="C20" i="5"/>
  <c r="F20" i="5"/>
  <c r="X37" i="15"/>
  <c r="D21" i="5"/>
  <c r="C21" i="5"/>
  <c r="F21" i="5"/>
  <c r="X38" i="15"/>
  <c r="D22" i="5"/>
  <c r="C22" i="5"/>
  <c r="F22" i="5"/>
  <c r="X39" i="15"/>
  <c r="D18" i="5"/>
  <c r="C18" i="5"/>
  <c r="F18" i="5"/>
  <c r="X40" i="15"/>
  <c r="D23" i="5"/>
  <c r="C23" i="5"/>
  <c r="F23" i="5"/>
  <c r="X42" i="15"/>
  <c r="X43" i="15"/>
  <c r="F34" i="5"/>
  <c r="X24" i="15"/>
  <c r="X30" i="15"/>
  <c r="X47" i="15"/>
  <c r="X48" i="15"/>
  <c r="X49" i="15"/>
  <c r="X58" i="15"/>
  <c r="I17" i="5"/>
  <c r="AH13" i="15"/>
  <c r="AH14" i="15"/>
  <c r="AH34" i="15"/>
  <c r="H35" i="5"/>
  <c r="AH26" i="15"/>
  <c r="AH31" i="15"/>
  <c r="H36" i="5"/>
  <c r="AH18" i="15"/>
  <c r="AH32" i="15"/>
  <c r="I19" i="5"/>
  <c r="AH35" i="15"/>
  <c r="I20" i="5"/>
  <c r="AH37" i="15"/>
  <c r="I21" i="5"/>
  <c r="AH38" i="15"/>
  <c r="I22" i="5"/>
  <c r="AH39" i="15"/>
  <c r="I18" i="5"/>
  <c r="AH40" i="15"/>
  <c r="I23" i="5"/>
  <c r="AH42" i="15"/>
  <c r="AH43" i="15"/>
  <c r="H34" i="5"/>
  <c r="AH24" i="15"/>
  <c r="AH30" i="15"/>
  <c r="AH47" i="15"/>
  <c r="AH48" i="15"/>
  <c r="AH49" i="15"/>
  <c r="AH86" i="15"/>
  <c r="X86" i="15"/>
  <c r="AH71" i="15"/>
  <c r="Y58" i="15"/>
  <c r="Z58" i="15"/>
  <c r="Z34" i="15"/>
  <c r="Y26" i="15"/>
  <c r="Z26" i="15"/>
  <c r="Z31" i="15"/>
  <c r="Y18" i="15"/>
  <c r="Z18" i="15"/>
  <c r="Z32" i="15"/>
  <c r="X59" i="15"/>
  <c r="Y59" i="15"/>
  <c r="Z59" i="15"/>
  <c r="Z35" i="15"/>
  <c r="X61" i="15"/>
  <c r="AH89" i="15"/>
  <c r="X89" i="15"/>
  <c r="AH74" i="15"/>
  <c r="Y61" i="15"/>
  <c r="Z61" i="15"/>
  <c r="Z37" i="15"/>
  <c r="X62" i="15"/>
  <c r="AH90" i="15"/>
  <c r="X90" i="15"/>
  <c r="AH75" i="15"/>
  <c r="Y62" i="15"/>
  <c r="Z62" i="15"/>
  <c r="Z38" i="15"/>
  <c r="X63" i="15"/>
  <c r="AH91" i="15"/>
  <c r="X91" i="15"/>
  <c r="AH76" i="15"/>
  <c r="Y63" i="15"/>
  <c r="Z63" i="15"/>
  <c r="Z39" i="15"/>
  <c r="X64" i="15"/>
  <c r="AH92" i="15"/>
  <c r="X92" i="15"/>
  <c r="AH77" i="15"/>
  <c r="Y64" i="15"/>
  <c r="Z64" i="15"/>
  <c r="Z40" i="15"/>
  <c r="X66" i="15"/>
  <c r="Y66" i="15"/>
  <c r="Z66" i="15"/>
  <c r="Z42" i="15"/>
  <c r="Z43" i="15"/>
  <c r="Y24" i="15"/>
  <c r="Z24" i="15"/>
  <c r="Z30" i="15"/>
  <c r="Z47" i="15"/>
  <c r="Z48" i="15"/>
  <c r="Z49" i="15"/>
  <c r="Z86" i="15"/>
  <c r="Z87" i="15"/>
  <c r="Z88" i="15"/>
  <c r="Z89" i="15"/>
  <c r="Z90" i="15"/>
  <c r="Z91" i="15"/>
  <c r="Z92" i="15"/>
  <c r="Z93" i="15"/>
  <c r="Z94" i="15"/>
  <c r="Z95" i="15"/>
  <c r="Z16" i="15"/>
  <c r="AA13" i="15"/>
  <c r="AA14" i="15"/>
  <c r="AA58" i="15"/>
  <c r="AA34" i="15"/>
  <c r="AA26" i="15"/>
  <c r="AA31" i="15"/>
  <c r="AA18" i="15"/>
  <c r="AA32" i="15"/>
  <c r="AA59" i="15"/>
  <c r="AA35" i="15"/>
  <c r="AA61" i="15"/>
  <c r="AA37" i="15"/>
  <c r="AA62" i="15"/>
  <c r="AA38" i="15"/>
  <c r="AA63" i="15"/>
  <c r="AA39" i="15"/>
  <c r="AA64" i="15"/>
  <c r="AA40" i="15"/>
  <c r="AA66" i="15"/>
  <c r="AA42" i="15"/>
  <c r="AA43" i="15"/>
  <c r="AA24" i="15"/>
  <c r="AA30" i="15"/>
  <c r="AA47" i="15"/>
  <c r="AA48" i="15"/>
  <c r="AA49" i="15"/>
  <c r="AA86" i="15"/>
  <c r="AA87" i="15"/>
  <c r="AA88" i="15"/>
  <c r="AA89" i="15"/>
  <c r="AA90" i="15"/>
  <c r="AA91" i="15"/>
  <c r="AA92" i="15"/>
  <c r="AA93" i="15"/>
  <c r="AA94" i="15"/>
  <c r="AA95" i="15"/>
  <c r="AA16" i="15"/>
  <c r="AB13" i="15"/>
  <c r="AB14" i="15"/>
  <c r="AB58" i="15"/>
  <c r="AB34" i="15"/>
  <c r="AB26" i="15"/>
  <c r="AB31" i="15"/>
  <c r="AB18" i="15"/>
  <c r="AB32" i="15"/>
  <c r="AB59" i="15"/>
  <c r="AB35" i="15"/>
  <c r="AB61" i="15"/>
  <c r="AB37" i="15"/>
  <c r="AB62" i="15"/>
  <c r="AB38" i="15"/>
  <c r="AB63" i="15"/>
  <c r="AB39" i="15"/>
  <c r="AB64" i="15"/>
  <c r="AB40" i="15"/>
  <c r="AB66" i="15"/>
  <c r="AB42" i="15"/>
  <c r="AB43" i="15"/>
  <c r="AB24" i="15"/>
  <c r="AB30" i="15"/>
  <c r="AB47" i="15"/>
  <c r="AB48" i="15"/>
  <c r="AB49" i="15"/>
  <c r="AB86" i="15"/>
  <c r="AB87" i="15"/>
  <c r="AB88" i="15"/>
  <c r="AB89" i="15"/>
  <c r="AB90" i="15"/>
  <c r="AB91" i="15"/>
  <c r="AB92" i="15"/>
  <c r="AB93" i="15"/>
  <c r="AB94" i="15"/>
  <c r="AB95" i="15"/>
  <c r="AB16" i="15"/>
  <c r="AC58" i="15"/>
  <c r="AC13" i="15"/>
  <c r="AC14" i="15"/>
  <c r="AC34" i="15"/>
  <c r="AC26" i="15"/>
  <c r="AC31" i="15"/>
  <c r="AC18" i="15"/>
  <c r="AC32" i="15"/>
  <c r="AC59" i="15"/>
  <c r="AC35" i="15"/>
  <c r="AC61" i="15"/>
  <c r="AC37" i="15"/>
  <c r="AC62" i="15"/>
  <c r="AC38" i="15"/>
  <c r="AC63" i="15"/>
  <c r="AC39" i="15"/>
  <c r="AC64" i="15"/>
  <c r="AC40" i="15"/>
  <c r="AC66" i="15"/>
  <c r="AC42" i="15"/>
  <c r="AC43" i="15"/>
  <c r="AC24" i="15"/>
  <c r="AC30" i="15"/>
  <c r="AC47" i="15"/>
  <c r="AC48" i="15"/>
  <c r="AC49" i="15"/>
  <c r="AC86" i="15"/>
  <c r="AC87" i="15"/>
  <c r="AC88" i="15"/>
  <c r="AC89" i="15"/>
  <c r="AC90" i="15"/>
  <c r="AC91" i="15"/>
  <c r="AC92" i="15"/>
  <c r="AC93" i="15"/>
  <c r="AC94" i="15"/>
  <c r="AC95" i="15"/>
  <c r="AC16" i="15"/>
  <c r="AD58" i="15"/>
  <c r="AD13" i="15"/>
  <c r="AD14" i="15"/>
  <c r="AD34" i="15"/>
  <c r="AD26" i="15"/>
  <c r="AD31" i="15"/>
  <c r="AD18" i="15"/>
  <c r="AD32" i="15"/>
  <c r="AD59" i="15"/>
  <c r="AD35" i="15"/>
  <c r="AD61" i="15"/>
  <c r="AD37" i="15"/>
  <c r="AD62" i="15"/>
  <c r="AD38" i="15"/>
  <c r="AD63" i="15"/>
  <c r="AD39" i="15"/>
  <c r="AD64" i="15"/>
  <c r="AD40" i="15"/>
  <c r="AD66" i="15"/>
  <c r="AD42" i="15"/>
  <c r="AD43" i="15"/>
  <c r="AD24" i="15"/>
  <c r="AD30" i="15"/>
  <c r="AD47" i="15"/>
  <c r="AD48" i="15"/>
  <c r="AD49" i="15"/>
  <c r="AD86" i="15"/>
  <c r="AD87" i="15"/>
  <c r="AD88" i="15"/>
  <c r="AD89" i="15"/>
  <c r="AD90" i="15"/>
  <c r="AD91" i="15"/>
  <c r="AD92" i="15"/>
  <c r="AD93" i="15"/>
  <c r="AD94" i="15"/>
  <c r="AD95" i="15"/>
  <c r="AD16" i="15"/>
  <c r="AE58" i="15"/>
  <c r="AE13" i="15"/>
  <c r="AE14" i="15"/>
  <c r="AE34" i="15"/>
  <c r="AE26" i="15"/>
  <c r="AE31" i="15"/>
  <c r="AE18" i="15"/>
  <c r="AE32" i="15"/>
  <c r="AE59" i="15"/>
  <c r="AE35" i="15"/>
  <c r="AE61" i="15"/>
  <c r="AE37" i="15"/>
  <c r="AE62" i="15"/>
  <c r="AE38" i="15"/>
  <c r="AE63" i="15"/>
  <c r="AE39" i="15"/>
  <c r="AE64" i="15"/>
  <c r="AE40" i="15"/>
  <c r="AE66" i="15"/>
  <c r="AE42" i="15"/>
  <c r="AE43" i="15"/>
  <c r="AE24" i="15"/>
  <c r="AE30" i="15"/>
  <c r="AE47" i="15"/>
  <c r="AE48" i="15"/>
  <c r="AE49" i="15"/>
  <c r="AE86" i="15"/>
  <c r="AE87" i="15"/>
  <c r="AE88" i="15"/>
  <c r="AE89" i="15"/>
  <c r="AE90" i="15"/>
  <c r="AE91" i="15"/>
  <c r="AE92" i="15"/>
  <c r="AE93" i="15"/>
  <c r="AE94" i="15"/>
  <c r="AE95" i="15"/>
  <c r="AE16" i="15"/>
  <c r="AF58" i="15"/>
  <c r="AF13" i="15"/>
  <c r="AF14" i="15"/>
  <c r="AF34" i="15"/>
  <c r="AF26" i="15"/>
  <c r="AF31" i="15"/>
  <c r="AF18" i="15"/>
  <c r="AF32" i="15"/>
  <c r="AF59" i="15"/>
  <c r="AF35" i="15"/>
  <c r="AF61" i="15"/>
  <c r="AF37" i="15"/>
  <c r="AF62" i="15"/>
  <c r="AF38" i="15"/>
  <c r="AF63" i="15"/>
  <c r="AF39" i="15"/>
  <c r="AF64" i="15"/>
  <c r="AF40" i="15"/>
  <c r="AF66" i="15"/>
  <c r="AF42" i="15"/>
  <c r="AF43" i="15"/>
  <c r="AF24" i="15"/>
  <c r="AF30" i="15"/>
  <c r="AF47" i="15"/>
  <c r="AF48" i="15"/>
  <c r="AF49" i="15"/>
  <c r="AF86" i="15"/>
  <c r="AF87" i="15"/>
  <c r="AF88" i="15"/>
  <c r="AF89" i="15"/>
  <c r="AF90" i="15"/>
  <c r="AF91" i="15"/>
  <c r="AF92" i="15"/>
  <c r="AF93" i="15"/>
  <c r="AF94" i="15"/>
  <c r="AF95" i="15"/>
  <c r="AF16" i="15"/>
  <c r="AG58" i="15"/>
  <c r="AG13" i="15"/>
  <c r="AG14" i="15"/>
  <c r="AG34" i="15"/>
  <c r="AG26" i="15"/>
  <c r="AG31" i="15"/>
  <c r="AG18" i="15"/>
  <c r="AG32" i="15"/>
  <c r="AG59" i="15"/>
  <c r="AG35" i="15"/>
  <c r="AG61" i="15"/>
  <c r="AG37" i="15"/>
  <c r="AG62" i="15"/>
  <c r="AG38" i="15"/>
  <c r="AG63" i="15"/>
  <c r="AG39" i="15"/>
  <c r="AG64" i="15"/>
  <c r="AG40" i="15"/>
  <c r="AG66" i="15"/>
  <c r="AG42" i="15"/>
  <c r="AG43" i="15"/>
  <c r="AG24" i="15"/>
  <c r="AG30" i="15"/>
  <c r="AG47" i="15"/>
  <c r="AG48" i="15"/>
  <c r="AG49" i="15"/>
  <c r="AG86" i="15"/>
  <c r="AG87" i="15"/>
  <c r="AG88" i="15"/>
  <c r="AG89" i="15"/>
  <c r="AG90" i="15"/>
  <c r="AG91" i="15"/>
  <c r="AG92" i="15"/>
  <c r="AG93" i="15"/>
  <c r="AG94" i="15"/>
  <c r="AG95" i="15"/>
  <c r="AG16" i="15"/>
  <c r="Y13" i="15"/>
  <c r="Y14" i="15"/>
  <c r="Y34" i="15"/>
  <c r="Y31" i="15"/>
  <c r="Y32" i="15"/>
  <c r="Y35" i="15"/>
  <c r="Y37" i="15"/>
  <c r="Y38" i="15"/>
  <c r="Y39" i="15"/>
  <c r="Y40" i="15"/>
  <c r="Y42" i="15"/>
  <c r="Y43" i="15"/>
  <c r="Y30" i="15"/>
  <c r="Y47" i="15"/>
  <c r="Y48" i="15"/>
  <c r="Y49" i="15"/>
  <c r="Y86" i="15"/>
  <c r="Y87" i="15"/>
  <c r="Y88" i="15"/>
  <c r="Y89" i="15"/>
  <c r="Y90" i="15"/>
  <c r="Y91" i="15"/>
  <c r="Y92" i="15"/>
  <c r="Y93" i="15"/>
  <c r="Y94" i="15"/>
  <c r="Y95" i="15"/>
  <c r="Y16" i="15"/>
  <c r="G11" i="5"/>
  <c r="E11" i="5"/>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9" i="8"/>
  <c r="G78" i="8"/>
  <c r="G77" i="8"/>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H75" i="8"/>
  <c r="I75" i="8"/>
  <c r="J75" i="8"/>
  <c r="K75" i="8"/>
  <c r="L75" i="8"/>
  <c r="M75" i="8"/>
  <c r="N75" i="8"/>
  <c r="O75" i="8"/>
  <c r="P75" i="8"/>
  <c r="Q75" i="8"/>
  <c r="R75" i="8"/>
  <c r="S75" i="8"/>
  <c r="T75" i="8"/>
  <c r="U75" i="8"/>
  <c r="V75" i="8"/>
  <c r="W75" i="8"/>
  <c r="X75" i="8"/>
  <c r="Y75" i="8"/>
  <c r="Z75" i="8"/>
  <c r="AA75" i="8"/>
  <c r="AB75" i="8"/>
  <c r="AC75" i="8"/>
  <c r="AD75" i="8"/>
  <c r="AE75" i="8"/>
  <c r="AF75" i="8"/>
  <c r="AG75" i="8"/>
  <c r="AH75" i="8"/>
  <c r="AI75" i="8"/>
  <c r="AJ75" i="8"/>
  <c r="G75" i="8"/>
  <c r="H74" i="8"/>
  <c r="I74" i="8"/>
  <c r="J74" i="8"/>
  <c r="K74" i="8"/>
  <c r="L74" i="8"/>
  <c r="M74" i="8"/>
  <c r="N74" i="8"/>
  <c r="O74" i="8"/>
  <c r="P74" i="8"/>
  <c r="Q74" i="8"/>
  <c r="R74" i="8"/>
  <c r="S74" i="8"/>
  <c r="T74" i="8"/>
  <c r="U74" i="8"/>
  <c r="V74" i="8"/>
  <c r="W74" i="8"/>
  <c r="X74" i="8"/>
  <c r="Y74" i="8"/>
  <c r="Z74" i="8"/>
  <c r="AA74" i="8"/>
  <c r="AB74" i="8"/>
  <c r="AC74" i="8"/>
  <c r="AD74" i="8"/>
  <c r="AE74" i="8"/>
  <c r="AF74" i="8"/>
  <c r="AG74" i="8"/>
  <c r="AH74" i="8"/>
  <c r="AI74" i="8"/>
  <c r="AJ74" i="8"/>
  <c r="G74" i="8"/>
  <c r="H73" i="8"/>
  <c r="I73" i="8"/>
  <c r="K73" i="8"/>
  <c r="L73" i="8"/>
  <c r="M73" i="8"/>
  <c r="N73" i="8"/>
  <c r="O73" i="8"/>
  <c r="Q73" i="8"/>
  <c r="R73" i="8"/>
  <c r="S73" i="8"/>
  <c r="T73" i="8"/>
  <c r="U73" i="8"/>
  <c r="V73" i="8"/>
  <c r="W73" i="8"/>
  <c r="X73" i="8"/>
  <c r="Y73" i="8"/>
  <c r="AA73" i="8"/>
  <c r="AB73" i="8"/>
  <c r="AC73" i="8"/>
  <c r="AD73" i="8"/>
  <c r="AE73" i="8"/>
  <c r="AF73" i="8"/>
  <c r="AG73" i="8"/>
  <c r="AH73" i="8"/>
  <c r="AI73" i="8"/>
  <c r="G73" i="8"/>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G50" i="11"/>
  <c r="G51" i="11"/>
  <c r="G49" i="11"/>
  <c r="B58" i="11"/>
  <c r="C58" i="11"/>
  <c r="D58" i="11"/>
  <c r="E58" i="11"/>
  <c r="F58" i="11"/>
  <c r="X8" i="9"/>
  <c r="X10" i="9"/>
  <c r="X11" i="9"/>
  <c r="X12" i="9"/>
  <c r="X13" i="9"/>
  <c r="X14" i="9"/>
  <c r="X16" i="9"/>
  <c r="X18" i="9"/>
  <c r="D12" i="5"/>
  <c r="N8" i="9"/>
  <c r="N10" i="9"/>
  <c r="N11" i="9"/>
  <c r="N12" i="9"/>
  <c r="N13" i="9"/>
  <c r="N14" i="9"/>
  <c r="N16" i="9"/>
  <c r="E12" i="5"/>
  <c r="AH8"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C24" i="5"/>
  <c r="E17" i="5"/>
  <c r="N16" i="15"/>
  <c r="N19" i="15"/>
  <c r="N20" i="15"/>
  <c r="N21" i="15"/>
  <c r="N34" i="15"/>
  <c r="N26" i="15"/>
  <c r="N31" i="15"/>
  <c r="N18" i="15"/>
  <c r="N32" i="15"/>
  <c r="E19" i="5"/>
  <c r="N35" i="15"/>
  <c r="E20" i="5"/>
  <c r="N37" i="15"/>
  <c r="E21" i="5"/>
  <c r="N38" i="15"/>
  <c r="E22" i="5"/>
  <c r="N39" i="15"/>
  <c r="E18" i="5"/>
  <c r="N40" i="15"/>
  <c r="E23" i="5"/>
  <c r="N42" i="15"/>
  <c r="N43" i="15"/>
  <c r="N30" i="15"/>
  <c r="N46" i="15"/>
  <c r="N47" i="15"/>
  <c r="N48" i="15"/>
  <c r="N49" i="15"/>
  <c r="N86" i="15"/>
  <c r="H32" i="15"/>
  <c r="H13" i="9"/>
  <c r="H38" i="15"/>
  <c r="H14" i="9"/>
  <c r="H39" i="15"/>
  <c r="H10" i="9"/>
  <c r="H34" i="15"/>
  <c r="H11" i="9"/>
  <c r="H35" i="15"/>
  <c r="H12" i="9"/>
  <c r="H37" i="15"/>
  <c r="H16" i="9"/>
  <c r="H42" i="15"/>
  <c r="H40" i="15"/>
  <c r="H46" i="15"/>
  <c r="H14" i="15"/>
  <c r="H30" i="15"/>
  <c r="H49" i="15"/>
  <c r="H86" i="15"/>
  <c r="N71" i="15"/>
  <c r="D58" i="15"/>
  <c r="D13" i="15"/>
  <c r="D14" i="15"/>
  <c r="D10" i="9"/>
  <c r="D34" i="15"/>
  <c r="C26" i="15"/>
  <c r="D26" i="15"/>
  <c r="D31" i="15"/>
  <c r="C18" i="15"/>
  <c r="D18" i="15"/>
  <c r="D32" i="15"/>
  <c r="C59" i="15"/>
  <c r="N87" i="15"/>
  <c r="H87"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N94" i="15"/>
  <c r="H94"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X46" i="15"/>
  <c r="Y46" i="15"/>
  <c r="Z46" i="15"/>
  <c r="AA46" i="15"/>
  <c r="AB46" i="15"/>
  <c r="AC46" i="15"/>
  <c r="AD46" i="15"/>
  <c r="AE46" i="15"/>
  <c r="AF46" i="15"/>
  <c r="AG46" i="15"/>
  <c r="AH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AH94" i="15"/>
  <c r="X94" i="15"/>
  <c r="AG16" i="9"/>
  <c r="AF16" i="9"/>
  <c r="AE16" i="9"/>
  <c r="AD16" i="9"/>
  <c r="AC16" i="9"/>
  <c r="AB16" i="9"/>
  <c r="AA16" i="9"/>
  <c r="Z16" i="9"/>
  <c r="Y16" i="9"/>
  <c r="AG14" i="9"/>
  <c r="AF14" i="9"/>
  <c r="AE14" i="9"/>
  <c r="AD14" i="9"/>
  <c r="AC14" i="9"/>
  <c r="AB14" i="9"/>
  <c r="AA14" i="9"/>
  <c r="Z14" i="9"/>
  <c r="Y14" i="9"/>
  <c r="AG13" i="9"/>
  <c r="AF13" i="9"/>
  <c r="AE13" i="9"/>
  <c r="AD13" i="9"/>
  <c r="AC13" i="9"/>
  <c r="AB13" i="9"/>
  <c r="AA13" i="9"/>
  <c r="Z13" i="9"/>
  <c r="Y13" i="9"/>
  <c r="AG12" i="9"/>
  <c r="AF12" i="9"/>
  <c r="AE12" i="9"/>
  <c r="AD12" i="9"/>
  <c r="AC12" i="9"/>
  <c r="AB12" i="9"/>
  <c r="AA12" i="9"/>
  <c r="Z12" i="9"/>
  <c r="Y12" i="9"/>
  <c r="AH87" i="15"/>
  <c r="X87" i="15"/>
  <c r="AG11" i="9"/>
  <c r="AF11" i="9"/>
  <c r="AE11" i="9"/>
  <c r="AD11" i="9"/>
  <c r="AC11" i="9"/>
  <c r="AB11" i="9"/>
  <c r="AA11" i="9"/>
  <c r="Z11" i="9"/>
  <c r="Y11" i="9"/>
  <c r="AG10" i="9"/>
  <c r="AF10" i="9"/>
  <c r="AE10" i="9"/>
  <c r="AD10" i="9"/>
  <c r="AC10" i="9"/>
  <c r="AB10" i="9"/>
  <c r="AA10" i="9"/>
  <c r="Z10" i="9"/>
  <c r="Y10" i="9"/>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93" i="15"/>
  <c r="AH59" i="15"/>
  <c r="AH61" i="15"/>
  <c r="AH65" i="15"/>
  <c r="AH50" i="15"/>
  <c r="AH66" i="15"/>
  <c r="AH58" i="15"/>
  <c r="AH85" i="15"/>
  <c r="AH57" i="15"/>
  <c r="Z141" i="15"/>
  <c r="Z218" i="15"/>
  <c r="Z239" i="15"/>
  <c r="X241" i="15"/>
  <c r="X84" i="15"/>
  <c r="X50" i="15"/>
  <c r="X56" i="15"/>
  <c r="X88" i="15"/>
  <c r="X65" i="15"/>
  <c r="X93"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93"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93"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<sst xmlns="http://schemas.openxmlformats.org/spreadsheetml/2006/main" count="1299" uniqueCount="749">
  <si>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</si>
  <si>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</si>
  <si>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</si>
  <si>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</si>
  <si>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</si>
  <si>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</si>
  <si>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</si>
  <si>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</si>
  <si>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</si>
  <si>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</si>
  <si>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</si>
  <si>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</si>
  <si>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</si>
  <si>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</si>
  <si>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</si>
  <si>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</si>
  <si>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</si>
  <si>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</si>
  <si>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</si>
  <si>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</si>
  <si>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</si>
  <si>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</si>
  <si>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</si>
  <si>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</si>
  <si>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</si>
  <si>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</si>
  <si>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</si>
  <si>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</si>
  <si>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</si>
  <si>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</si>
  <si>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</si>
  <si>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</si>
  <si>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</si>
  <si>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</si>
  <si>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</si>
  <si>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</si>
  <si>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</si>
  <si>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</si>
  <si>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</si>
  <si>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</si>
  <si>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</si>
  <si>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</si>
  <si>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</si>
  <si>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</si>
  <si>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</si>
  <si>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</si>
  <si>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</si>
  <si>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</si>
  <si>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</si>
  <si>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</si>
  <si>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</si>
  <si>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</si>
  <si>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</si>
  <si>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</si>
  <si>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</si>
  <si>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</si>
  <si>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</si>
  <si>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</si>
  <si>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</si>
  <si>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</si>
  <si>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</si>
  <si>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</si>
  <si>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</si>
  <si>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</si>
  <si>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</si>
  <si>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</si>
  <si>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</si>
  <si>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</si>
  <si>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</si>
  <si>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</si>
  <si>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</si>
  <si>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</si>
  <si>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</si>
  <si>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</si>
  <si>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</si>
  <si>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</si>
  <si>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</si>
  <si>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</si>
  <si>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</si>
  <si>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</si>
  <si>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</si>
  <si>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</si>
  <si>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</si>
  <si>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</si>
  <si>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</si>
  <si>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</si>
  <si>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</si>
  <si>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</si>
  <si>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</si>
  <si>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</si>
  <si>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</si>
  <si>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</si>
  <si>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</si>
  <si>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</si>
  <si>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</si>
  <si>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</si>
  <si>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</si>
  <si>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</si>
  <si>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</si>
  <si>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</si>
  <si>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</si>
  <si>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</si>
  <si>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</si>
  <si>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</si>
  <si>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</si>
  <si>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</si>
  <si>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</si>
  <si>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</si>
  <si>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</si>
  <si>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</si>
  <si>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</si>
  <si>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</si>
  <si>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</si>
  <si>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</si>
  <si>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</si>
  <si>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</si>
  <si>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</si>
  <si>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</si>
  <si>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</si>
  <si>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</si>
  <si>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</si>
  <si>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</si>
  <si>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</si>
  <si>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</si>
  <si>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</si>
  <si>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</si>
  <si>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</si>
  <si>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</si>
  <si>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</si>
  <si>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</si>
  <si>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</si>
  <si>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</si>
  <si>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</si>
  <si>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</si>
  <si>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</si>
  <si>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</si>
  <si>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</si>
  <si>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</si>
  <si>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</si>
  <si>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</si>
  <si>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</si>
  <si>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</si>
  <si>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</si>
  <si>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</si>
  <si>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</si>
  <si>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</si>
  <si>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</si>
  <si>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</si>
  <si>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</si>
  <si>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</si>
  <si>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</si>
  <si>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</si>
  <si>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</si>
  <si>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</si>
  <si>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</si>
  <si>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</si>
  <si>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</si>
  <si>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</si>
  <si>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</si>
  <si>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</si>
  <si>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</si>
  <si>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</si>
  <si>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</si>
  <si>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</si>
  <si>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</si>
  <si>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</si>
  <si>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</si>
  <si>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</si>
  <si>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</si>
  <si>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</si>
  <si>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</si>
  <si>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</si>
  <si>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</si>
  <si>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</si>
  <si>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</si>
  <si>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</si>
  <si>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</si>
  <si>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</si>
  <si>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</si>
  <si>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</si>
  <si>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</si>
  <si>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</si>
  <si>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</si>
  <si>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</si>
  <si>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</si>
  <si>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</si>
  <si>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</si>
  <si>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</si>
  <si>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</si>
  <si>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</si>
  <si>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</si>
  <si>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</si>
  <si>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</si>
  <si>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</si>
  <si>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</si>
  <si>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</si>
  <si>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</si>
  <si>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</si>
  <si>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</si>
  <si>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</si>
  <si>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</si>
  <si>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</si>
  <si>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</si>
  <si>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</si>
  <si>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</si>
  <si>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</si>
  <si>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</si>
  <si>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</si>
  <si>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</si>
  <si>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</si>
  <si>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</si>
  <si>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</si>
  <si>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</si>
  <si>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</si>
  <si>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</si>
  <si>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</si>
  <si>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</si>
  <si>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</si>
  <si>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</si>
  <si>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</si>
  <si>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</si>
  <si>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</si>
  <si>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</si>
  <si>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</si>
  <si>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</si>
  <si>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</si>
  <si>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</si>
  <si>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</si>
  <si>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</si>
  <si>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</si>
  <si>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</si>
  <si>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</si>
  <si>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</si>
  <si>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</si>
  <si>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</si>
  <si>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</si>
  <si>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</si>
  <si>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</si>
  <si>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</si>
  <si>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</si>
  <si>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</si>
  <si>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</si>
  <si>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</si>
  <si>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</si>
  <si>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</si>
  <si>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</si>
  <si>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</si>
  <si>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</si>
  <si>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</si>
  <si>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</si>
  <si>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</si>
  <si>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</si>
  <si>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</si>
  <si>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</si>
  <si>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</si>
  <si>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</si>
  <si>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</si>
  <si>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</si>
  <si>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</si>
  <si>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</si>
  <si>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</si>
  <si>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</si>
  <si>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</si>
  <si>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</si>
  <si>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</si>
  <si>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</si>
  <si>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</si>
  <si>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</si>
  <si>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</si>
  <si>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</si>
  <si>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</si>
  <si>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</si>
  <si>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</si>
  <si>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</si>
  <si>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</si>
  <si>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</si>
  <si>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</si>
  <si>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</si>
  <si>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</si>
  <si>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</si>
  <si>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</si>
  <si>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</si>
  <si>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</si>
  <si>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</si>
  <si>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</si>
  <si>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</si>
  <si>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</si>
  <si>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</si>
  <si>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</si>
  <si>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</si>
  <si>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</si>
  <si>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</si>
  <si>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</si>
  <si>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</si>
  <si>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</si>
  <si>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</si>
  <si>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</si>
  <si>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</si>
  <si>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</si>
  <si>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</si>
  <si>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</si>
  <si>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</si>
  <si>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</si>
  <si>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</si>
  <si>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</si>
  <si>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</si>
  <si>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</si>
  <si>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</si>
  <si>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</si>
  <si>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</si>
  <si>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</si>
  <si>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</si>
  <si>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</si>
  <si>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</si>
  <si>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</si>
  <si>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</si>
  <si>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</si>
  <si>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</si>
  <si>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</si>
  <si>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</si>
  <si>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</si>
  <si>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</si>
  <si>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</si>
  <si>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</si>
  <si>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</si>
  <si>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</si>
  <si>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</si>
  <si>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</si>
  <si>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</si>
  <si>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</si>
  <si>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</si>
  <si>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</si>
  <si>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</si>
  <si>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</si>
  <si>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</si>
  <si>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</si>
  <si>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</si>
  <si>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</si>
  <si>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</si>
  <si>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</si>
  <si>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</si>
  <si>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</si>
  <si>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</si>
  <si>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</si>
  <si>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</si>
  <si>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</si>
  <si>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</si>
  <si>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</si>
  <si>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</si>
  <si>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</si>
  <si>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</si>
  <si>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</si>
  <si>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</si>
  <si>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</si>
  <si>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</si>
  <si>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</si>
  <si>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</si>
  <si>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</si>
  <si>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</si>
  <si>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</si>
  <si>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</si>
  <si>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</si>
  <si>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</si>
  <si>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</si>
  <si>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</si>
  <si>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</si>
  <si>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</si>
  <si>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</si>
  <si>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</si>
  <si>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</si>
  <si>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</si>
  <si>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</si>
  <si>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</si>
  <si>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</si>
  <si>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</si>
  <si>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</si>
  <si>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</si>
  <si>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</si>
  <si>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</si>
  <si>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</si>
  <si>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</si>
  <si>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</si>
  <si>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</si>
  <si>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</si>
  <si>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</si>
  <si>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</si>
  <si>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</si>
  <si>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</si>
  <si>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</si>
  <si>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</si>
  <si>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</si>
  <si>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</si>
  <si>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</si>
  <si>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</si>
  <si>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</si>
  <si>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</si>
  <si>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</si>
  <si>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</si>
  <si>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</si>
  <si>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</si>
  <si>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</si>
  <si>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</si>
  <si>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</si>
  <si>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</si>
  <si>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</si>
  <si>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</si>
  <si>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</si>
  <si>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</si>
  <si>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</si>
  <si>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</si>
  <si>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</si>
  <si>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</si>
  <si>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</si>
  <si>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</si>
  <si>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</si>
  <si>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</si>
  <si>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</si>
  <si>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</si>
  <si>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</si>
  <si>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</si>
  <si>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</si>
  <si>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</si>
  <si>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</si>
  <si>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</si>
  <si>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</si>
  <si>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</si>
  <si>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</si>
  <si>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</si>
  <si>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</si>
  <si>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</si>
  <si>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</si>
  <si>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</si>
  <si>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</si>
  <si>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</si>
  <si>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</si>
  <si>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</si>
  <si>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</si>
  <si>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</si>
  <si>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</si>
  <si>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</si>
  <si>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</si>
  <si>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</si>
  <si>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</si>
  <si>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</si>
  <si>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</si>
  <si>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</si>
  <si>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</si>
  <si>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</si>
  <si>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</si>
  <si>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</si>
  <si>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</si>
  <si>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</si>
  <si>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</si>
  <si>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</si>
  <si>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</si>
  <si>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</si>
  <si>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</si>
  <si>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</si>
  <si>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</si>
  <si>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</si>
  <si>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</si>
  <si>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</si>
  <si>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</si>
  <si>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</si>
  <si>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</si>
  <si>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</si>
  <si>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</si>
  <si>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</si>
  <si>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</si>
  <si>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</si>
  <si>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</si>
  <si>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</si>
  <si>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</si>
  <si>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</si>
  <si>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</si>
  <si>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</si>
  <si>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</si>
  <si>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</si>
  <si>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</si>
  <si>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</si>
  <si>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</si>
  <si>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</si>
  <si>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</si>
  <si>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</si>
  <si>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</si>
  <si>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</si>
  <si>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</si>
  <si>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</si>
  <si>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</si>
  <si>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</si>
  <si>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</si>
  <si>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</si>
  <si>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</si>
  <si>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</si>
  <si>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</si>
  <si>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</si>
  <si>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</si>
  <si>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</si>
  <si>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</si>
  <si>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</si>
  <si>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</si>
  <si>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</si>
  <si>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</si>
  <si>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</si>
  <si>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</si>
  <si>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</si>
  <si>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</si>
  <si>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</si>
  <si>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</si>
  <si>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</si>
  <si>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</si>
  <si>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</si>
  <si>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</si>
  <si>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</si>
  <si>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</si>
  <si>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</si>
  <si>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</si>
  <si>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</si>
  <si>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</si>
  <si>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</si>
  <si>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</si>
  <si>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</si>
  <si>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</si>
  <si>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</si>
  <si>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</si>
  <si>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</si>
  <si>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</si>
  <si>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</si>
  <si>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</si>
  <si>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</si>
  <si>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</si>
  <si>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</si>
  <si>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</si>
  <si>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</si>
  <si>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</si>
  <si>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</si>
  <si>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</si>
  <si>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</si>
  <si>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</si>
  <si>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</si>
  <si>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</si>
  <si>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</si>
  <si>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</si>
  <si>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</si>
  <si>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</si>
  <si>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</si>
  <si>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</si>
  <si>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</si>
  <si>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</si>
  <si>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</si>
  <si>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</si>
  <si>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</si>
  <si>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</si>
  <si>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</si>
  <si>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</si>
  <si>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</si>
  <si>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</si>
  <si>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</si>
  <si>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</si>
  <si>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</si>
  <si>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</si>
  <si>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</si>
  <si>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</si>
  <si>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</si>
  <si>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</si>
  <si>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</si>
  <si>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</si>
  <si>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</si>
  <si>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</si>
  <si>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</si>
  <si>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</si>
  <si>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</si>
  <si>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</si>
  <si>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</si>
  <si>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</si>
  <si>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</si>
  <si>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</si>
  <si>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</si>
  <si>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</si>
  <si>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</si>
  <si>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</si>
  <si>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</si>
  <si>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</si>
  <si>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</si>
  <si>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</si>
  <si>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</si>
  <si>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</si>
  <si>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</si>
  <si>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</si>
  <si>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</si>
  <si>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</si>
  <si>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</si>
  <si>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</si>
  <si>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</si>
  <si>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</si>
  <si>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</si>
  <si>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</si>
  <si>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</si>
  <si>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</si>
  <si>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</si>
  <si>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</si>
  <si>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</si>
  <si>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</si>
  <si>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</si>
  <si>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</si>
  <si>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</si>
  <si>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</si>
  <si>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</si>
  <si>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</si>
  <si>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</si>
  <si>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</si>
  <si>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</si>
  <si>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</si>
  <si>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</si>
  <si>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</si>
  <si>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</si>
  <si>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</si>
  <si>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</si>
  <si>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</si>
  <si>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</si>
  <si>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</si>
  <si>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</si>
  <si>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</si>
  <si>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</si>
  <si>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</si>
  <si>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</si>
  <si>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</si>
  <si>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</si>
  <si>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</si>
  <si>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</si>
  <si>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</si>
  <si>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</si>
  <si>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</si>
  <si>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</si>
  <si>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</si>
  <si>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</si>
  <si>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</si>
  <si>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</si>
  <si>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</si>
  <si>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</si>
  <si>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</si>
  <si>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</si>
  <si>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</si>
  <si>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</si>
  <si>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</si>
  <si>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</si>
  <si>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</si>
  <si>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</si>
  <si>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</si>
  <si>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</si>
  <si>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</si>
  <si>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</si>
  <si>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</si>
  <si>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</si>
  <si>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</si>
  <si>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</si>
  <si>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</si>
  <si>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</si>
  <si>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</si>
  <si>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</si>
  <si>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</si>
  <si>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</si>
  <si>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</si>
  <si>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</si>
  <si>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</si>
  <si>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</si>
  <si>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</si>
  <si>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</si>
  <si>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</si>
  <si>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</si>
  <si>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</si>
  <si>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</si>
  <si>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</si>
  <si>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</si>
  <si>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</si>
  <si>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</si>
  <si>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</si>
  <si>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</si>
  <si>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</si>
  <si>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</si>
  <si>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</si>
  <si>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</si>
  <si>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</si>
  <si>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</si>
  <si>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</si>
  <si>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</si>
  <si>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</si>
  <si>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</si>
  <si>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</si>
  <si>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</si>
  <si>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</si>
  <si>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</si>
  <si>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</si>
  <si>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</si>
  <si>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</si>
  <si>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</si>
  <si>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</si>
  <si>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</si>
  <si>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</si>
  <si>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</si>
  <si>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</si>
  <si>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</si>
  <si>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</si>
  <si>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</si>
  <si>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</si>
  <si>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</si>
  <si>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</si>
  <si>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</si>
  <si>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</si>
  <si>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</si>
  <si>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</si>
  <si>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</si>
  <si>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</si>
  <si>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</si>
  <si>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</si>
  <si>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</si>
  <si>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</si>
  <si>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</si>
  <si>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</si>
  <si>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</si>
  <si>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</si>
  <si>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</si>
  <si>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</si>
  <si>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</si>
  <si>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</si>
  <si>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</si>
  <si>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</si>
  <si>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</si>
  <si>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Total Electricity Generation by Fuel from EIA for Carolina-Virginia</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</si>
  <si>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</si>
  <si>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</si>
  <si>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</si>
  <si>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</si>
  <si>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</si>
  <si>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</si>
  <si>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</si>
  <si>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</si>
  <si>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</si>
  <si>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</si>
  <si>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</si>
  <si>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</si>
  <si>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</si>
  <si>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Generation from EIA Virginia-Carolina from EIA</t>
  </si>
  <si>
    <t>Energy</t>
  </si>
  <si>
    <t>Contribution of Virginia</t>
  </si>
  <si>
    <t>Total Electricity Generation by Fuel by computation for Virginia</t>
  </si>
  <si>
    <t>Proportion for Virginia</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</si>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</sst>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18">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8">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2" fillId="7" borderId="0" xfId="0" applyFont="1" applyFill="1"/>
    <xf numFmtId="0" fontId="22" fillId="7" borderId="0" xfId="0" applyFont="1" applyFill="1" applyAlignment="1">
      <alignment horizontal="center"/>
    </xf>
    <xf numFmtId="165" fontId="22" fillId="7" borderId="0" xfId="0" applyNumberFormat="1" applyFont="1" applyFill="1" applyAlignment="1">
      <alignment horizontal="center"/>
    </xf>
    <xf numFmtId="165" fontId="22" fillId="7" borderId="0" xfId="0" applyNumberFormat="1" applyFont="1" applyFill="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65" fontId="22" fillId="7" borderId="5" xfId="0" applyNumberFormat="1" applyFont="1" applyFill="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10" fontId="2" fillId="0" borderId="0" xfId="4" applyNumberFormat="1" applyFont="1" applyFill="1"/>
    <xf numFmtId="2" fontId="43" fillId="2" borderId="52" xfId="0" applyNumberFormat="1" applyFont="1" applyFill="1" applyBorder="1" applyAlignment="1">
      <alignment horizontal="right" vertical="center"/>
    </xf>
    <xf numFmtId="2" fontId="43" fillId="2" borderId="54"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2" fontId="44" fillId="2" borderId="0" xfId="0" applyNumberFormat="1" applyFont="1" applyFill="1" applyAlignment="1">
      <alignment horizontal="right" vertical="center"/>
    </xf>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18">
    <cellStyle name="Comma" xfId="1" builtinId="3"/>
    <cellStyle name="Comma 2" xfId="2"/>
    <cellStyle name="Followed Hyperlink" xfId="13" builtinId="9" hidden="1"/>
    <cellStyle name="Followed Hyperlink" xfId="15" builtinId="9" hidden="1"/>
    <cellStyle name="Followed Hyperlink" xfId="17" builtinId="9" hidden="1"/>
    <cellStyle name="Hyperlink" xfId="12" builtinId="8" hidden="1"/>
    <cellStyle name="Hyperlink" xfId="14" builtinId="8" hidden="1"/>
    <cellStyle name="Hyperlink" xfId="16"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96052600"/>
        <c:axId val="2095420760"/>
      </c:lineChart>
      <c:catAx>
        <c:axId val="20960526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420760"/>
        <c:crosses val="autoZero"/>
        <c:auto val="1"/>
        <c:lblAlgn val="ctr"/>
        <c:lblOffset val="100"/>
        <c:noMultiLvlLbl val="0"/>
      </c:catAx>
      <c:valAx>
        <c:axId val="209542076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960526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723672"/>
        <c:axId val="2095350904"/>
      </c:lineChart>
      <c:catAx>
        <c:axId val="211172367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95350904"/>
        <c:crosses val="autoZero"/>
        <c:auto val="1"/>
        <c:lblAlgn val="ctr"/>
        <c:lblOffset val="100"/>
        <c:noMultiLvlLbl val="0"/>
      </c:catAx>
      <c:valAx>
        <c:axId val="209535090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72367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5"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2"/>
      <c r="B1" s="532"/>
      <c r="C1" s="532"/>
      <c r="D1" s="532"/>
      <c r="E1" s="532"/>
      <c r="F1" s="532"/>
      <c r="G1" s="532"/>
      <c r="H1" s="532"/>
      <c r="I1" s="532"/>
      <c r="J1" s="532"/>
      <c r="K1" s="532"/>
      <c r="L1" s="532"/>
      <c r="M1" s="532"/>
      <c r="N1" s="532"/>
      <c r="O1" s="532"/>
      <c r="P1" s="532"/>
      <c r="Q1" s="532"/>
      <c r="R1" s="532"/>
      <c r="S1" s="532"/>
      <c r="T1" s="532"/>
    </row>
    <row r="2" spans="1:20" ht="113.25" customHeight="1">
      <c r="A2" s="532"/>
      <c r="B2" s="532"/>
      <c r="C2" s="532"/>
      <c r="D2" s="532"/>
      <c r="E2" s="532"/>
      <c r="F2" s="532"/>
      <c r="G2" s="532"/>
      <c r="H2" s="532"/>
      <c r="I2" s="532"/>
      <c r="J2" s="532"/>
      <c r="K2" s="532"/>
      <c r="L2" s="532"/>
      <c r="M2" s="532"/>
      <c r="N2" s="532"/>
      <c r="O2" s="532"/>
      <c r="P2" s="119"/>
      <c r="Q2" s="119"/>
      <c r="R2" s="119"/>
      <c r="S2" s="119"/>
      <c r="T2" s="119"/>
    </row>
    <row r="3" spans="1:20" ht="15" thickBot="1">
      <c r="C3" s="110"/>
      <c r="D3"/>
      <c r="E3" s="110"/>
      <c r="F3" s="110"/>
      <c r="G3" s="110"/>
      <c r="H3" s="110"/>
      <c r="I3" s="248"/>
      <c r="J3" s="248"/>
      <c r="K3" s="248"/>
      <c r="L3" s="172"/>
      <c r="M3" s="7" t="s">
        <v>0</v>
      </c>
    </row>
    <row r="4" spans="1:20" ht="15" thickBot="1">
      <c r="C4" s="117" t="s">
        <v>141</v>
      </c>
      <c r="D4" s="124"/>
      <c r="E4" s="119"/>
      <c r="F4" s="110"/>
      <c r="G4" s="110"/>
      <c r="H4" s="163" t="s">
        <v>0</v>
      </c>
      <c r="I4" s="248"/>
      <c r="J4" s="248"/>
      <c r="K4" s="248"/>
      <c r="L4" s="172"/>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1" t="s">
        <v>555</v>
      </c>
      <c r="D7" s="114">
        <f>'Output - Jobs vs Yr (BAU)'!X4/'Output - Jobs vs Yr (BAU)'!C4-1</f>
        <v>0.51076501857248968</v>
      </c>
      <c r="E7" s="92" t="s">
        <v>519</v>
      </c>
      <c r="F7" s="109"/>
      <c r="G7" s="109"/>
      <c r="H7" s="29" t="s">
        <v>0</v>
      </c>
      <c r="I7" s="29"/>
      <c r="J7" s="29"/>
      <c r="K7" s="29"/>
      <c r="L7" s="29"/>
      <c r="M7" s="7" t="s">
        <v>0</v>
      </c>
      <c r="N7" t="s">
        <v>0</v>
      </c>
      <c r="O7" t="s">
        <v>0</v>
      </c>
      <c r="P7" t="s">
        <v>0</v>
      </c>
    </row>
    <row r="8" spans="1:20" ht="15" thickBot="1">
      <c r="B8" s="1" t="s">
        <v>368</v>
      </c>
      <c r="C8" s="109"/>
      <c r="D8" s="104" t="s">
        <v>342</v>
      </c>
      <c r="E8" s="504" t="s">
        <v>718</v>
      </c>
      <c r="F8" s="109"/>
      <c r="G8" s="504"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126">
        <v>0.1</v>
      </c>
      <c r="D11" s="125">
        <f>'Output - Jobs vs Yr (BAU)'!N18/'Output -Jobs vs Yr'!N14</f>
        <v>5.9076627374928914E-2</v>
      </c>
      <c r="E11" s="503">
        <f>(7.7/3)^(1/6)</f>
        <v>1.1701141873017888</v>
      </c>
      <c r="F11" s="109"/>
      <c r="G11" s="500">
        <f>(12.5/3)^(1/6)</f>
        <v>1.2685223586294079</v>
      </c>
      <c r="H11"/>
      <c r="I11"/>
      <c r="J11"/>
      <c r="K11"/>
      <c r="L11"/>
      <c r="M11" t="s">
        <v>0</v>
      </c>
      <c r="N11" t="s">
        <v>0</v>
      </c>
      <c r="O11" s="111" t="s">
        <v>0</v>
      </c>
      <c r="P11" s="31" t="s">
        <v>0</v>
      </c>
    </row>
    <row r="12" spans="1:20" ht="15" thickBot="1">
      <c r="B12" t="s">
        <v>381</v>
      </c>
      <c r="C12" s="210">
        <v>0.17</v>
      </c>
      <c r="D12" s="125">
        <f>'Output - Jobs vs Yr (BAU)'!X18/'Output -Jobs vs Yr'!X14</f>
        <v>6.6667356074152001E-2</v>
      </c>
      <c r="E12" s="503">
        <f>(D12/D11)^(1/10)</f>
        <v>1.0121613600692492</v>
      </c>
      <c r="F12" s="109"/>
      <c r="G12" s="501">
        <f>(C12/C11)^(1/10)</f>
        <v>1.0544958918547662</v>
      </c>
      <c r="H12"/>
      <c r="I12"/>
      <c r="J12"/>
      <c r="K12"/>
      <c r="L12"/>
      <c r="M12" t="s">
        <v>0</v>
      </c>
      <c r="N12" t="s">
        <v>0</v>
      </c>
      <c r="O12" s="111" t="s">
        <v>0</v>
      </c>
      <c r="P12" s="31" t="s">
        <v>0</v>
      </c>
    </row>
    <row r="13" spans="1:20" ht="15" thickBot="1">
      <c r="B13" t="s">
        <v>578</v>
      </c>
      <c r="C13" s="211">
        <v>0.17</v>
      </c>
      <c r="D13" s="173">
        <f>'Output - Jobs vs Yr (BAU)'!AH18/'Output -Jobs vs Yr'!AH14</f>
        <v>6.0884797397443874E-2</v>
      </c>
      <c r="E13" s="503">
        <f>(D13/D12)^(1/10)</f>
        <v>0.99096784642755475</v>
      </c>
      <c r="F13" s="109"/>
      <c r="G13" s="502">
        <f>(C13/C12)^(1/10)</f>
        <v>1</v>
      </c>
      <c r="H13"/>
      <c r="I13"/>
      <c r="J13"/>
      <c r="K13"/>
      <c r="L13"/>
      <c r="M13"/>
      <c r="O13" s="111"/>
      <c r="P13" s="31"/>
    </row>
    <row r="14" spans="1:20">
      <c r="B14" t="s">
        <v>579</v>
      </c>
      <c r="C14" s="247"/>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6">
        <v>2020</v>
      </c>
      <c r="O16" s="296">
        <v>2030</v>
      </c>
      <c r="P16" s="296">
        <v>2040</v>
      </c>
      <c r="Q16" s="199">
        <v>2031</v>
      </c>
    </row>
    <row r="17" spans="2:17" ht="15" thickBot="1">
      <c r="B17" t="s">
        <v>353</v>
      </c>
      <c r="C17" s="196">
        <f>D17*$C$11/$D$11</f>
        <v>8.2816711122608064E-2</v>
      </c>
      <c r="D17" s="127">
        <f>'Output - Jobs vs Yr (BAU)'!N10/'Output -Jobs vs Yr'!$N$14</f>
        <v>4.8925319834074478E-2</v>
      </c>
      <c r="E17" s="105">
        <f t="shared" ref="E17:E23" si="0">IF($C$24&lt;&gt;0,C17/$C$24,0)</f>
        <v>0.82816711122608078</v>
      </c>
      <c r="F17" s="173">
        <f>C17*$C$12/$C$11</f>
        <v>0.14078840890843372</v>
      </c>
      <c r="G17" s="105">
        <f>'Output - Jobs vs Yr (BAU)'!X10/'Output - Jobs vs Yr (BAU)'!X24</f>
        <v>5.8949161470207928E-2</v>
      </c>
      <c r="H17" s="105">
        <f t="shared" ref="H17:H23" si="1">G17/$G$24</f>
        <v>0.87445179790968153</v>
      </c>
      <c r="I17" s="173">
        <f>F17*$C$13/$C$12</f>
        <v>0.14078840890843372</v>
      </c>
      <c r="J17" s="105">
        <f>'Output - Jobs vs Yr (BAU)'!AH10/'Output - Jobs vs Yr (BAU)'!AH24</f>
        <v>5.5389028315239688E-2</v>
      </c>
      <c r="K17" s="105">
        <f>J17/$J$24</f>
        <v>0.88019106399659097</v>
      </c>
      <c r="L17" s="105"/>
      <c r="M17" s="45" t="s">
        <v>259</v>
      </c>
      <c r="N17" s="86">
        <f>HLOOKUP(N16,'Output -Jobs vs Yr'!$H$175:$AH$184,9)</f>
        <v>450.0472865992142</v>
      </c>
      <c r="O17" s="86">
        <f>HLOOKUP(O16,'Output -Jobs vs Yr'!$H$175:$AH$184,9)</f>
        <v>1109.6510325222462</v>
      </c>
      <c r="P17" s="86">
        <f>HLOOKUP(P16,'Output -Jobs vs Yr'!$H$175:$AH$184,9)</f>
        <v>1598.043646956783</v>
      </c>
      <c r="Q17" s="86">
        <f>HLOOKUP(Q16,'Output -Jobs vs Yr'!$H$175:$AH$184,9)</f>
        <v>1107.6930000835146</v>
      </c>
    </row>
    <row r="18" spans="2:17" ht="15" thickBot="1">
      <c r="B18" s="4" t="s">
        <v>354</v>
      </c>
      <c r="C18" s="196">
        <f>D18*$C$11/$D$11</f>
        <v>1.8762282303252742E-7</v>
      </c>
      <c r="D18" s="127">
        <f>'Output - Jobs vs Yr (BAU)'!N15/'Output -Jobs vs Yr'!$N$14</f>
        <v>1.1084123603324852E-7</v>
      </c>
      <c r="E18" s="105">
        <f t="shared" si="0"/>
        <v>1.8762282303252747E-6</v>
      </c>
      <c r="F18" s="173">
        <f t="shared" ref="F18:F23" si="2">C18*$C$12/$C$11</f>
        <v>3.1895879915529664E-7</v>
      </c>
      <c r="G18" s="105">
        <f>'Output - Jobs vs Yr (BAU)'!X15/'Output - Jobs vs Yr (BAU)'!X24</f>
        <v>9.3720820641670873E-8</v>
      </c>
      <c r="H18" s="105">
        <f t="shared" si="1"/>
        <v>1.3902545526978945E-6</v>
      </c>
      <c r="I18" s="173">
        <f t="shared" ref="I18:I24" si="3">F18*$C$13/$C$12</f>
        <v>3.1895879915529664E-7</v>
      </c>
      <c r="J18" s="105">
        <f>'Output - Jobs vs Yr (BAU)'!AH15/'Output - Jobs vs Yr (BAU)'!AH24</f>
        <v>8.5045054533051494E-8</v>
      </c>
      <c r="K18" s="105">
        <f t="shared" ref="K18:K24" si="4">J18/$J$24</f>
        <v>1.351457126329456E-6</v>
      </c>
      <c r="L18" s="105"/>
      <c r="M18" s="46" t="s">
        <v>260</v>
      </c>
      <c r="N18" s="87">
        <f>HLOOKUP(N16,'Output -Jobs vs Yr'!$H$175:$AH$184,10)</f>
        <v>405.04210090575543</v>
      </c>
      <c r="O18" s="87">
        <f>HLOOKUP(O16,'Output -Jobs vs Yr'!$H$175:$AH$184,10)</f>
        <v>998.68500010940625</v>
      </c>
      <c r="P18" s="87">
        <f>HLOOKUP(P16,'Output -Jobs vs Yr'!$H$175:$AH$184,10)</f>
        <v>1438.2382356454837</v>
      </c>
      <c r="Q18" s="87">
        <f>HLOOKUP(Q16,'Output -Jobs vs Yr'!$H$175:$AH$184,10)</f>
        <v>996.92277160232879</v>
      </c>
    </row>
    <row r="19" spans="2:17" ht="15" thickBot="1">
      <c r="B19" s="4" t="s">
        <v>355</v>
      </c>
      <c r="C19" s="196">
        <f>D19*$C$11/$D$11</f>
        <v>0</v>
      </c>
      <c r="D19" s="127">
        <f>'Output - Jobs vs Yr (BAU)'!N11/'Output -Jobs vs Yr'!$N$14</f>
        <v>0</v>
      </c>
      <c r="E19" s="105">
        <f t="shared" si="0"/>
        <v>0</v>
      </c>
      <c r="F19" s="173">
        <f t="shared" si="2"/>
        <v>0</v>
      </c>
      <c r="G19" s="105">
        <f>'Output - Jobs vs Yr (BAU)'!X11/'Output - Jobs vs Yr (BAU)'!X24</f>
        <v>0</v>
      </c>
      <c r="H19" s="105">
        <f t="shared" si="1"/>
        <v>0</v>
      </c>
      <c r="I19" s="173">
        <f t="shared" si="3"/>
        <v>0</v>
      </c>
      <c r="J19" s="105">
        <f>'Output - Jobs vs Yr (BAU)'!AH11/'Output - Jobs vs Yr (BAU)'!AH24</f>
        <v>0</v>
      </c>
      <c r="K19" s="105">
        <f t="shared" si="4"/>
        <v>0</v>
      </c>
      <c r="L19" s="105"/>
      <c r="M19" s="46" t="s">
        <v>261</v>
      </c>
      <c r="N19" s="87">
        <f>HLOOKUP(N16,'Output -Jobs vs Yr'!$H$175:$AH$184,8)</f>
        <v>855.08938750496964</v>
      </c>
      <c r="O19" s="87">
        <f>HLOOKUP(O16,'Output -Jobs vs Yr'!$H$175:$AH$184,8)</f>
        <v>2108.3360326316542</v>
      </c>
      <c r="P19" s="87">
        <f>HLOOKUP(P16,'Output -Jobs vs Yr'!$H$175:$AH$184,8)</f>
        <v>3036.2818826022631</v>
      </c>
      <c r="Q19" s="87">
        <f>HLOOKUP(Q16,'Output -Jobs vs Yr'!$H$175:$AH$184,8)</f>
        <v>2104.6157716858434</v>
      </c>
    </row>
    <row r="20" spans="2:17" ht="15" thickBot="1">
      <c r="B20" s="4" t="s">
        <v>51</v>
      </c>
      <c r="C20" s="196">
        <f>D20*$C$11/$D$11</f>
        <v>1.7177472569877908E-2</v>
      </c>
      <c r="D20" s="127">
        <f>'Output - Jobs vs Yr (BAU)'!N12/'Output -Jobs vs Yr'!$N$14</f>
        <v>1.0147871462537397E-2</v>
      </c>
      <c r="E20" s="105">
        <f t="shared" si="0"/>
        <v>0.17177472569877911</v>
      </c>
      <c r="F20" s="173">
        <f t="shared" si="2"/>
        <v>2.9201703368792447E-2</v>
      </c>
      <c r="G20" s="105">
        <f>'Output - Jobs vs Yr (BAU)'!X12/'Output - Jobs vs Yr (BAU)'!X24</f>
        <v>8.4606386200571041E-3</v>
      </c>
      <c r="H20" s="105">
        <f t="shared" si="1"/>
        <v>0.1255051041991849</v>
      </c>
      <c r="I20" s="173">
        <f t="shared" si="3"/>
        <v>2.9201703368792447E-2</v>
      </c>
      <c r="J20" s="105">
        <f>'Output - Jobs vs Yr (BAU)'!AH12/'Output - Jobs vs Yr (BAU)'!AH24</f>
        <v>7.5384509173679207E-3</v>
      </c>
      <c r="K20" s="105">
        <f t="shared" si="4"/>
        <v>0.11979406997501928</v>
      </c>
      <c r="L20" s="105"/>
      <c r="M20" s="47" t="s">
        <v>459</v>
      </c>
      <c r="N20" s="88">
        <f>HLOOKUP(N16,'Output -Jobs vs Yr'!$H$175:$AH$188,11)-HLOOKUP(N16,'Output -Jobs vs Yr'!$H$175:$AH$188,14)</f>
        <v>3511.0904512899506</v>
      </c>
      <c r="O20" s="88">
        <f>HLOOKUP(O16,'Output -Jobs vs Yr'!$H$175:$AH$188,11)-HLOOKUP(O16,'Output -Jobs vs Yr'!$H$175:$AH$188,14)</f>
        <v>16227.498378422002</v>
      </c>
      <c r="P20" s="88">
        <f>HLOOKUP(P16,'Output -Jobs vs Yr'!$H$175:$AH$188,11)-HLOOKUP(P16,'Output -Jobs vs Yr'!$H$175:$AH$188,14)</f>
        <v>40426.296007733421</v>
      </c>
      <c r="Q20" s="88">
        <f>HLOOKUP(Q16,'Output -Jobs vs Yr'!$H$175:$AH$188,11)-HLOOKUP(Q16,'Output -Jobs vs Yr'!$H$175:$AH$188,14)</f>
        <v>18332.114150107845</v>
      </c>
    </row>
    <row r="21" spans="2:17" ht="15" thickBot="1">
      <c r="B21" t="s">
        <v>356</v>
      </c>
      <c r="C21" s="196">
        <f t="shared" ref="C21:C23" si="5">D21*$C$11/$D$11</f>
        <v>3.7524564606505481E-6</v>
      </c>
      <c r="D21" s="127">
        <f>'Output - Jobs vs Yr (BAU)'!N13/'Output -Jobs vs Yr'!$N$14</f>
        <v>2.2168247206649704E-6</v>
      </c>
      <c r="E21" s="105">
        <f t="shared" si="0"/>
        <v>3.7524564606505492E-5</v>
      </c>
      <c r="F21" s="173">
        <f t="shared" si="2"/>
        <v>6.3791759831059313E-6</v>
      </c>
      <c r="G21" s="105">
        <f>'Output - Jobs vs Yr (BAU)'!X13/'Output - Jobs vs Yr (BAU)'!X24</f>
        <v>1.8744164128334176E-6</v>
      </c>
      <c r="H21" s="105">
        <f t="shared" si="1"/>
        <v>2.7805091053957894E-5</v>
      </c>
      <c r="I21" s="173">
        <f t="shared" si="3"/>
        <v>6.3791759831059313E-6</v>
      </c>
      <c r="J21" s="105">
        <f>'Output - Jobs vs Yr (BAU)'!AH13/'Output - Jobs vs Yr (BAU)'!AH24</f>
        <v>0</v>
      </c>
      <c r="K21" s="105">
        <f t="shared" si="4"/>
        <v>0</v>
      </c>
      <c r="L21" s="105"/>
      <c r="N21" s="161"/>
    </row>
    <row r="22" spans="2:17" ht="15" thickBot="1">
      <c r="B22" s="4" t="s">
        <v>357</v>
      </c>
      <c r="C22" s="196">
        <f t="shared" si="5"/>
        <v>1.876228230325274E-6</v>
      </c>
      <c r="D22" s="127">
        <f>'Output - Jobs vs Yr (BAU)'!N14/'Output -Jobs vs Yr'!$N$14</f>
        <v>1.1084123603324852E-6</v>
      </c>
      <c r="E22" s="105">
        <f t="shared" si="0"/>
        <v>1.8762282303252746E-5</v>
      </c>
      <c r="F22" s="173">
        <f t="shared" si="2"/>
        <v>3.1895879915529656E-6</v>
      </c>
      <c r="G22" s="105">
        <f>'Output - Jobs vs Yr (BAU)'!X14/'Output - Jobs vs Yr (BAU)'!X24</f>
        <v>9.3720820641670878E-7</v>
      </c>
      <c r="H22" s="105">
        <f t="shared" si="1"/>
        <v>1.3902545526978947E-5</v>
      </c>
      <c r="I22" s="173">
        <f t="shared" si="3"/>
        <v>3.1895879915529656E-6</v>
      </c>
      <c r="J22" s="105">
        <f>'Output - Jobs vs Yr (BAU)'!AH14/'Output - Jobs vs Yr (BAU)'!AH24</f>
        <v>8.5045054533051502E-7</v>
      </c>
      <c r="K22" s="105">
        <f t="shared" si="4"/>
        <v>1.3514571263294561E-5</v>
      </c>
      <c r="L22" s="105"/>
      <c r="O22" t="s">
        <v>0</v>
      </c>
    </row>
    <row r="23" spans="2:17" ht="15" thickBot="1">
      <c r="B23" t="s">
        <v>358</v>
      </c>
      <c r="C23" s="196">
        <f t="shared" si="5"/>
        <v>0</v>
      </c>
      <c r="D23" s="127">
        <f>'Output - Jobs vs Yr (BAU)'!N16/'Output -Jobs vs Yr'!$N$14</f>
        <v>0</v>
      </c>
      <c r="E23" s="105">
        <f t="shared" si="0"/>
        <v>0</v>
      </c>
      <c r="F23" s="173">
        <f t="shared" si="2"/>
        <v>0</v>
      </c>
      <c r="G23" s="105">
        <f>'Output - Jobs vs Yr (BAU)'!X16/'Output - Jobs vs Yr (BAU)'!X24</f>
        <v>0</v>
      </c>
      <c r="H23" s="105">
        <f t="shared" si="1"/>
        <v>0</v>
      </c>
      <c r="I23" s="173">
        <f t="shared" si="3"/>
        <v>0</v>
      </c>
      <c r="J23" s="105">
        <f>'Output - Jobs vs Yr (BAU)'!AH16/'Output - Jobs vs Yr (BAU)'!AH24</f>
        <v>0</v>
      </c>
      <c r="K23" s="105">
        <f t="shared" si="4"/>
        <v>0</v>
      </c>
      <c r="L23" s="105"/>
      <c r="M23" s="44"/>
      <c r="N23" s="198"/>
      <c r="O23" t="s">
        <v>0</v>
      </c>
    </row>
    <row r="24" spans="2:17">
      <c r="B24" s="108" t="s">
        <v>370</v>
      </c>
      <c r="C24" s="138">
        <f t="shared" ref="C24:H24" si="6">SUM(C17:C23)</f>
        <v>9.9999999999999978E-2</v>
      </c>
      <c r="D24" s="206">
        <f t="shared" si="6"/>
        <v>5.9076627374928907E-2</v>
      </c>
      <c r="E24" s="201">
        <f t="shared" si="6"/>
        <v>0.99999999999999989</v>
      </c>
      <c r="F24" s="201">
        <f t="shared" si="6"/>
        <v>0.16999999999999998</v>
      </c>
      <c r="G24" s="201">
        <f t="shared" si="6"/>
        <v>6.741270543570492E-2</v>
      </c>
      <c r="H24" s="105">
        <f t="shared" si="6"/>
        <v>1</v>
      </c>
      <c r="I24" s="173">
        <f t="shared" si="3"/>
        <v>0.16999999999999998</v>
      </c>
      <c r="J24" s="105">
        <f>SUM(J17:J23)</f>
        <v>6.2928414728207482E-2</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1" t="s">
        <v>342</v>
      </c>
      <c r="E27" s="107"/>
      <c r="F27" s="98"/>
      <c r="G27" s="135" t="s">
        <v>0</v>
      </c>
      <c r="H27" s="136" t="s">
        <v>0</v>
      </c>
      <c r="I27" s="136"/>
      <c r="J27" s="136"/>
      <c r="K27" s="136"/>
      <c r="L27" s="136"/>
      <c r="M27"/>
    </row>
    <row r="28" spans="2:17" ht="15" thickBot="1">
      <c r="B28" t="s">
        <v>371</v>
      </c>
      <c r="C28" s="209">
        <f>D28</f>
        <v>0.37270531974576582</v>
      </c>
      <c r="D28" s="105">
        <f>('Output - Jobs vs Yr (BAU)'!N8+'Output - Jobs vs Yr (BAU)'!N7)/'Output -Jobs vs Yr'!N14</f>
        <v>0.37270531974576582</v>
      </c>
      <c r="E28" s="137" t="s">
        <v>0</v>
      </c>
      <c r="F28" s="98"/>
      <c r="G28" s="98" t="s">
        <v>0</v>
      </c>
      <c r="H28" s="136" t="s">
        <v>0</v>
      </c>
      <c r="I28" s="136"/>
      <c r="J28" s="136"/>
      <c r="K28" s="136"/>
      <c r="L28" s="136"/>
      <c r="M28"/>
    </row>
    <row r="29" spans="2:17" ht="15" thickBot="1">
      <c r="B29" t="s">
        <v>372</v>
      </c>
      <c r="C29" s="279">
        <f>D29</f>
        <v>0.3116533768305968</v>
      </c>
      <c r="D29" s="105">
        <f>('Output - Jobs vs Yr (BAU)'!X8+'Output - Jobs vs Yr (BAU)'!X7)/'Output -Jobs vs Yr'!X14</f>
        <v>0.3116533768305968</v>
      </c>
      <c r="E29" s="107"/>
      <c r="F29" s="98"/>
      <c r="G29" s="96"/>
      <c r="H29"/>
      <c r="I29"/>
      <c r="J29"/>
      <c r="K29"/>
      <c r="L29"/>
    </row>
    <row r="30" spans="2:17" ht="15" thickBot="1">
      <c r="B30" t="s">
        <v>580</v>
      </c>
      <c r="C30" s="211">
        <f>D30</f>
        <v>0.28026263459361644</v>
      </c>
      <c r="D30" s="105">
        <f>('Output - Jobs vs Yr (BAU)'!AH8+'Output - Jobs vs Yr (BAU)'!AH7)/'Output -Jobs vs Yr'!AH14</f>
        <v>0.28026263459361644</v>
      </c>
      <c r="E30" s="107"/>
      <c r="F30" s="98"/>
      <c r="G30" s="96"/>
      <c r="H30"/>
      <c r="I30"/>
      <c r="J30"/>
      <c r="K30"/>
      <c r="L30"/>
    </row>
    <row r="31" spans="2:17">
      <c r="B31" t="s">
        <v>581</v>
      </c>
      <c r="C31" s="247"/>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1" t="s">
        <v>342</v>
      </c>
      <c r="E33" s="201" t="s">
        <v>537</v>
      </c>
      <c r="F33" s="202" t="s">
        <v>359</v>
      </c>
      <c r="G33" s="203" t="s">
        <v>342</v>
      </c>
      <c r="H33" s="202" t="s">
        <v>707</v>
      </c>
      <c r="I33" s="203" t="s">
        <v>342</v>
      </c>
      <c r="J33" s="164"/>
      <c r="K33" s="164"/>
      <c r="L33" s="164"/>
      <c r="M33" s="7" t="s">
        <v>0</v>
      </c>
    </row>
    <row r="34" spans="1:18" ht="15" thickBot="1">
      <c r="B34" s="4" t="s">
        <v>367</v>
      </c>
      <c r="C34" s="210">
        <f>D34</f>
        <v>0</v>
      </c>
      <c r="D34" s="105">
        <v>0</v>
      </c>
      <c r="E34" s="204">
        <f>'Output -Jobs vs Yr'!N30/'Output -Jobs vs Yr'!N49</f>
        <v>0</v>
      </c>
      <c r="F34" s="201">
        <f>C34*$C$29/$C$28</f>
        <v>0</v>
      </c>
      <c r="G34" s="205">
        <v>0</v>
      </c>
      <c r="H34" s="201">
        <f>F34*$C$30/$C$29</f>
        <v>0</v>
      </c>
      <c r="I34" s="205">
        <v>0</v>
      </c>
      <c r="J34" s="139"/>
      <c r="K34" s="139"/>
      <c r="L34" s="139"/>
    </row>
    <row r="35" spans="1:18" ht="15" thickBot="1">
      <c r="B35" s="4" t="s">
        <v>49</v>
      </c>
      <c r="C35" s="210">
        <f>D35</f>
        <v>1.8177845882789978E-2</v>
      </c>
      <c r="D35" s="105">
        <f>'Output - Jobs vs Yr (BAU)'!N7/'Output -Jobs vs Yr'!N14</f>
        <v>1.8177845882789978E-2</v>
      </c>
      <c r="E35" s="204">
        <f>C35</f>
        <v>1.8177845882789978E-2</v>
      </c>
      <c r="F35" s="201">
        <f>C35*$C$29/$C$28</f>
        <v>1.5200177600743832E-2</v>
      </c>
      <c r="G35" s="205">
        <f>'Output - Jobs vs Yr (BAU)'!X7/'Output - Jobs vs Yr (BAU)'!X24</f>
        <v>1.5370115803489067E-2</v>
      </c>
      <c r="H35" s="201">
        <f>F35*$C$30/$C$29</f>
        <v>1.3669166251296364E-2</v>
      </c>
      <c r="I35" s="205">
        <f>'Output - Jobs vs Yr (BAU)'!AH7/'Output - Jobs vs Yr (BAU)'!AH24</f>
        <v>1.4068655537129668E-2</v>
      </c>
      <c r="J35"/>
      <c r="K35"/>
      <c r="L35"/>
    </row>
    <row r="36" spans="1:18" ht="15" thickBot="1">
      <c r="B36" s="4" t="s">
        <v>365</v>
      </c>
      <c r="C36" s="210">
        <f>D36</f>
        <v>0.35452747386297584</v>
      </c>
      <c r="D36" s="105">
        <f>'Output - Jobs vs Yr (BAU)'!N8/'Output -Jobs vs Yr'!N14</f>
        <v>0.35452747386297584</v>
      </c>
      <c r="E36" s="204">
        <f>C36</f>
        <v>0.35452747386297584</v>
      </c>
      <c r="F36" s="201">
        <f>C36*$C$29/$C$28</f>
        <v>0.29645319922985297</v>
      </c>
      <c r="G36" s="205">
        <f>'Output - Jobs vs Yr (BAU)'!X8/'Output - Jobs vs Yr (BAU)'!X24</f>
        <v>0.29976758467702319</v>
      </c>
      <c r="H36" s="201">
        <f>F36*$C$30/$C$29</f>
        <v>0.26659346834232006</v>
      </c>
      <c r="I36" s="205">
        <f>'Output - Jobs vs Yr (BAU)'!AH8/'Output - Jobs vs Yr (BAU)'!AH24</f>
        <v>0.27560108233519498</v>
      </c>
      <c r="J36"/>
      <c r="K36"/>
      <c r="L36"/>
    </row>
    <row r="37" spans="1:18">
      <c r="B37" s="4" t="s">
        <v>369</v>
      </c>
      <c r="C37" s="139">
        <f>SUM(C35:C36)+'Output -Jobs vs Yr'!N30/'Output -Jobs vs Yr'!N49</f>
        <v>0.37270531974576582</v>
      </c>
      <c r="D37" s="105">
        <f>SUM(D34:D36)</f>
        <v>0.37270531974576582</v>
      </c>
      <c r="E37" s="204">
        <f>SUM(E34:E36)</f>
        <v>0.37270531974576582</v>
      </c>
      <c r="F37" s="204">
        <f>SUM(F34:F36)</f>
        <v>0.3116533768305968</v>
      </c>
      <c r="G37" s="204">
        <f>SUM(G34:G36)</f>
        <v>0.31513770048051226</v>
      </c>
      <c r="H37" s="201">
        <f>C37*$C$30/$C$28</f>
        <v>0.28026263459361644</v>
      </c>
      <c r="I37" s="204">
        <f>SUM(I34:I36)</f>
        <v>0.28966973787232464</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37,3%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9.9999999999999978E-2</v>
      </c>
      <c r="D40" s="105" t="s">
        <v>0</v>
      </c>
      <c r="E40" s="105" t="s">
        <v>0</v>
      </c>
      <c r="F40" s="105" t="s">
        <v>0</v>
      </c>
      <c r="G40" s="103" t="s">
        <v>0</v>
      </c>
      <c r="H40"/>
      <c r="I40"/>
      <c r="J40"/>
      <c r="K40"/>
      <c r="L40"/>
    </row>
    <row r="41" spans="1:18">
      <c r="B41" s="4" t="s">
        <v>375</v>
      </c>
      <c r="C41" s="105">
        <f>C24+C37</f>
        <v>0.4727053197457658</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8"/>
      <c r="J44" s="278"/>
      <c r="K44" s="278"/>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8"/>
      <c r="J45" s="278"/>
      <c r="K45" s="278"/>
      <c r="L45"/>
      <c r="M45" s="12" t="e">
        <f t="shared" si="7"/>
        <v>#REF!</v>
      </c>
      <c r="N45" s="28" t="s">
        <v>523</v>
      </c>
    </row>
    <row r="46" spans="1:18" s="1" customFormat="1" ht="15" thickBot="1">
      <c r="A46"/>
      <c r="B46" s="4" t="s">
        <v>121</v>
      </c>
      <c r="C46" s="84">
        <v>0.21</v>
      </c>
      <c r="D46" s="4" t="s">
        <v>0</v>
      </c>
      <c r="E46" s="28" t="s">
        <v>524</v>
      </c>
      <c r="F46" s="28"/>
      <c r="H46" s="49">
        <v>0.9</v>
      </c>
      <c r="I46" s="278"/>
      <c r="J46" s="278"/>
      <c r="K46" s="278"/>
      <c r="L46"/>
      <c r="M46" s="12">
        <f t="shared" si="7"/>
        <v>0.39900000000000002</v>
      </c>
      <c r="N46" s="28" t="s">
        <v>524</v>
      </c>
      <c r="O46"/>
      <c r="P46"/>
      <c r="Q46"/>
      <c r="R46"/>
    </row>
    <row r="47" spans="1:18" s="1" customFormat="1" ht="15" thickBot="1">
      <c r="A47"/>
      <c r="B47" s="4" t="s">
        <v>118</v>
      </c>
      <c r="C47" s="42">
        <v>0.18</v>
      </c>
      <c r="D47" s="4"/>
      <c r="E47" s="28" t="s">
        <v>524</v>
      </c>
      <c r="F47" s="28"/>
      <c r="H47" s="49">
        <v>0.9</v>
      </c>
      <c r="I47" s="278"/>
      <c r="J47" s="278"/>
      <c r="K47" s="278"/>
      <c r="L47"/>
      <c r="M47" s="12">
        <f t="shared" si="7"/>
        <v>0.34199999999999997</v>
      </c>
      <c r="N47" s="28" t="s">
        <v>524</v>
      </c>
      <c r="O47"/>
      <c r="P47"/>
      <c r="Q47"/>
    </row>
    <row r="48" spans="1:18" ht="15" thickBot="1">
      <c r="B48" s="4" t="s">
        <v>49</v>
      </c>
      <c r="C48" s="42">
        <v>0.15</v>
      </c>
      <c r="D48" s="4"/>
      <c r="E48" s="28" t="s">
        <v>524</v>
      </c>
      <c r="F48" s="28"/>
      <c r="G48" s="1"/>
      <c r="H48" s="49">
        <v>0.9</v>
      </c>
      <c r="I48" s="278"/>
      <c r="J48" s="278"/>
      <c r="K48" s="278"/>
      <c r="L48"/>
      <c r="M48" s="12">
        <f t="shared" si="7"/>
        <v>0.28500000000000003</v>
      </c>
      <c r="N48" s="28" t="s">
        <v>524</v>
      </c>
    </row>
    <row r="49" spans="1:17" s="1" customFormat="1" ht="15" thickBot="1">
      <c r="A49"/>
      <c r="B49" s="4" t="s">
        <v>50</v>
      </c>
      <c r="C49" s="42">
        <v>0.25</v>
      </c>
      <c r="D49" s="4" t="s">
        <v>0</v>
      </c>
      <c r="E49" s="28" t="s">
        <v>524</v>
      </c>
      <c r="F49" s="28"/>
      <c r="H49" s="49">
        <v>0.9</v>
      </c>
      <c r="I49" s="278"/>
      <c r="J49" s="278"/>
      <c r="K49" s="278"/>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8"/>
      <c r="J50" s="278"/>
      <c r="K50" s="278"/>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8"/>
      <c r="J51" s="278"/>
      <c r="K51" s="278"/>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8"/>
      <c r="J52" s="278"/>
      <c r="K52" s="278"/>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8"/>
      <c r="J53" s="278"/>
      <c r="K53" s="278"/>
      <c r="L53"/>
      <c r="M53" s="162">
        <f t="shared" si="7"/>
        <v>0.26600000000000001</v>
      </c>
      <c r="N53" s="28" t="s">
        <v>524</v>
      </c>
    </row>
    <row r="54" spans="1:17" ht="15" thickBot="1">
      <c r="B54" s="4" t="s">
        <v>347</v>
      </c>
      <c r="C54" s="84">
        <v>0.79</v>
      </c>
      <c r="D54" s="4" t="s">
        <v>0</v>
      </c>
      <c r="E54" s="28" t="s">
        <v>524</v>
      </c>
      <c r="F54" s="28"/>
      <c r="G54" s="110"/>
      <c r="H54" s="49">
        <v>0.9</v>
      </c>
      <c r="I54" s="278"/>
      <c r="J54" s="278"/>
      <c r="K54" s="278"/>
      <c r="L54"/>
      <c r="M54" s="12">
        <f t="shared" si="7"/>
        <v>1.5010000000000001</v>
      </c>
      <c r="N54" s="28" t="s">
        <v>524</v>
      </c>
    </row>
    <row r="55" spans="1:17" ht="15" thickBot="1">
      <c r="B55" s="4" t="s">
        <v>348</v>
      </c>
      <c r="C55" s="84">
        <v>0.23</v>
      </c>
      <c r="D55" s="4"/>
      <c r="E55" s="28" t="s">
        <v>524</v>
      </c>
      <c r="F55" s="28"/>
      <c r="G55" s="110"/>
      <c r="H55" s="49">
        <v>0.9</v>
      </c>
      <c r="I55" s="278"/>
      <c r="J55" s="278"/>
      <c r="K55" s="278"/>
      <c r="L55"/>
      <c r="M55" s="12">
        <f t="shared" si="7"/>
        <v>0.43700000000000006</v>
      </c>
      <c r="N55" s="28" t="s">
        <v>524</v>
      </c>
    </row>
    <row r="56" spans="1:17" ht="15.75" hidden="1" customHeight="1" thickBot="1">
      <c r="B56" s="4" t="s">
        <v>120</v>
      </c>
      <c r="C56" s="42">
        <v>0.11</v>
      </c>
      <c r="D56" s="4"/>
      <c r="E56" s="28" t="s">
        <v>524</v>
      </c>
      <c r="F56" s="28"/>
      <c r="G56" s="110"/>
      <c r="H56" s="49">
        <v>0.8</v>
      </c>
      <c r="I56" s="278"/>
      <c r="J56" s="278"/>
      <c r="K56" s="278"/>
      <c r="L56"/>
      <c r="M56" s="12">
        <f t="shared" si="7"/>
        <v>0.19800000000000001</v>
      </c>
      <c r="N56" s="28"/>
    </row>
    <row r="57" spans="1:17" ht="15" thickBot="1">
      <c r="B57" s="4" t="s">
        <v>53</v>
      </c>
      <c r="C57" s="84">
        <v>0.17</v>
      </c>
      <c r="D57" s="4" t="s">
        <v>0</v>
      </c>
      <c r="E57" s="28" t="s">
        <v>524</v>
      </c>
      <c r="F57" s="28"/>
      <c r="G57" s="110"/>
      <c r="H57" s="49">
        <v>0.9</v>
      </c>
      <c r="I57" s="278"/>
      <c r="J57" s="278"/>
      <c r="K57" s="278"/>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8"/>
      <c r="J58" s="278"/>
      <c r="K58" s="278"/>
      <c r="L58"/>
      <c r="M58" s="12" t="e">
        <f t="shared" si="7"/>
        <v>#REF!</v>
      </c>
      <c r="N58" s="28" t="s">
        <v>524</v>
      </c>
    </row>
    <row r="59" spans="1:17" ht="15.75" hidden="1" customHeight="1" thickBot="1">
      <c r="B59" s="4" t="s">
        <v>246</v>
      </c>
      <c r="C59" s="49" t="e">
        <f xml:space="preserve"> (1/6) *#REF!</f>
        <v>#REF!</v>
      </c>
      <c r="D59" s="4"/>
      <c r="E59" s="28" t="s">
        <v>247</v>
      </c>
      <c r="F59" s="28"/>
      <c r="G59" s="110"/>
      <c r="H59" s="49">
        <v>0.8</v>
      </c>
      <c r="I59" s="278"/>
      <c r="J59" s="278"/>
      <c r="K59" s="278"/>
      <c r="L59"/>
      <c r="M59" s="12" t="e">
        <f t="shared" si="7"/>
        <v>#REF!</v>
      </c>
      <c r="N59" s="28" t="s">
        <v>206</v>
      </c>
    </row>
    <row r="60" spans="1:17" ht="15" thickBot="1">
      <c r="B60" s="4" t="s">
        <v>68</v>
      </c>
      <c r="C60" s="42">
        <v>0.11</v>
      </c>
      <c r="D60" s="4"/>
      <c r="E60" s="28" t="s">
        <v>524</v>
      </c>
      <c r="F60" s="28"/>
      <c r="G60" s="110"/>
      <c r="H60" s="49">
        <v>0.9</v>
      </c>
      <c r="I60" s="278"/>
      <c r="J60" s="278"/>
      <c r="K60" s="278"/>
      <c r="L60"/>
      <c r="M60" s="162">
        <f t="shared" si="7"/>
        <v>0.20900000000000002</v>
      </c>
      <c r="N60" s="28" t="s">
        <v>524</v>
      </c>
    </row>
    <row r="61" spans="1:17" ht="15" thickBot="1">
      <c r="B61" s="4" t="s">
        <v>76</v>
      </c>
      <c r="C61" s="42">
        <v>0.11</v>
      </c>
      <c r="D61" s="4"/>
      <c r="E61" s="28" t="s">
        <v>524</v>
      </c>
      <c r="F61" s="28"/>
      <c r="G61" s="110"/>
      <c r="H61" s="49">
        <v>0.9</v>
      </c>
      <c r="I61" s="278"/>
      <c r="J61" s="278"/>
      <c r="K61" s="278"/>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9"/>
    <col min="6" max="6" width="12.5" style="350"/>
    <col min="7" max="37" width="12.5" style="304"/>
    <col min="38" max="16384" width="12.5" style="5"/>
  </cols>
  <sheetData>
    <row r="1" spans="1:37">
      <c r="A1" s="273" t="s">
        <v>705</v>
      </c>
    </row>
    <row r="2" spans="1:37">
      <c r="A2" s="273" t="s">
        <v>657</v>
      </c>
    </row>
    <row r="3" spans="1:37">
      <c r="A3" s="273" t="s">
        <v>658</v>
      </c>
    </row>
    <row r="5" spans="1:37">
      <c r="A5" s="6" t="s">
        <v>185</v>
      </c>
    </row>
    <row r="6" spans="1:37">
      <c r="A6" s="6" t="s">
        <v>184</v>
      </c>
    </row>
    <row r="9" spans="1:37">
      <c r="AK9" s="305" t="s">
        <v>715</v>
      </c>
    </row>
    <row r="10" spans="1:37">
      <c r="B10" s="351" t="s">
        <v>7</v>
      </c>
      <c r="C10" s="351" t="s">
        <v>8</v>
      </c>
      <c r="D10" s="351" t="s">
        <v>9</v>
      </c>
      <c r="E10" s="351" t="s">
        <v>10</v>
      </c>
      <c r="F10" s="352" t="s">
        <v>11</v>
      </c>
      <c r="G10" s="305" t="s">
        <v>12</v>
      </c>
      <c r="H10" s="305" t="s">
        <v>13</v>
      </c>
      <c r="I10" s="305" t="s">
        <v>14</v>
      </c>
      <c r="J10" s="305" t="s">
        <v>15</v>
      </c>
      <c r="K10" s="305" t="s">
        <v>16</v>
      </c>
      <c r="L10" s="305" t="s">
        <v>17</v>
      </c>
      <c r="M10" s="305" t="s">
        <v>18</v>
      </c>
      <c r="N10" s="305" t="s">
        <v>19</v>
      </c>
      <c r="O10" s="305" t="s">
        <v>20</v>
      </c>
      <c r="P10" s="305" t="s">
        <v>21</v>
      </c>
      <c r="Q10" s="305" t="s">
        <v>22</v>
      </c>
      <c r="R10" s="305" t="s">
        <v>23</v>
      </c>
      <c r="S10" s="305" t="s">
        <v>24</v>
      </c>
      <c r="T10" s="305" t="s">
        <v>25</v>
      </c>
      <c r="U10" s="305" t="s">
        <v>26</v>
      </c>
      <c r="V10" s="305" t="s">
        <v>27</v>
      </c>
      <c r="W10" s="305" t="s">
        <v>28</v>
      </c>
      <c r="X10" s="305" t="s">
        <v>29</v>
      </c>
      <c r="Y10" s="305" t="s">
        <v>30</v>
      </c>
      <c r="Z10" s="305" t="s">
        <v>31</v>
      </c>
      <c r="AA10" s="305" t="s">
        <v>582</v>
      </c>
      <c r="AB10" s="305" t="s">
        <v>583</v>
      </c>
      <c r="AC10" s="305" t="s">
        <v>584</v>
      </c>
      <c r="AD10" s="305" t="s">
        <v>585</v>
      </c>
      <c r="AE10" s="305" t="s">
        <v>586</v>
      </c>
      <c r="AF10" s="305" t="s">
        <v>587</v>
      </c>
      <c r="AG10" s="305" t="s">
        <v>588</v>
      </c>
      <c r="AH10" s="305" t="s">
        <v>589</v>
      </c>
      <c r="AI10" s="305" t="s">
        <v>590</v>
      </c>
      <c r="AJ10" s="305" t="s">
        <v>591</v>
      </c>
      <c r="AK10" s="305">
        <v>2040</v>
      </c>
    </row>
    <row r="13" spans="1:37">
      <c r="A13" s="6" t="s">
        <v>183</v>
      </c>
    </row>
    <row r="14" spans="1:37">
      <c r="A14" s="6" t="s">
        <v>182</v>
      </c>
      <c r="B14" s="353">
        <v>5.1020002365112296</v>
      </c>
      <c r="C14" s="353">
        <v>5.0669999122619602</v>
      </c>
      <c r="D14" s="353">
        <v>4.9539995193481401</v>
      </c>
      <c r="E14" s="353">
        <v>5.3799490928649902</v>
      </c>
      <c r="F14" s="354">
        <v>5.6095256805419904</v>
      </c>
      <c r="G14" s="298">
        <v>5.6580000000000004</v>
      </c>
      <c r="H14" s="298">
        <v>6.4939989999999996</v>
      </c>
      <c r="I14" s="298">
        <v>7.7220000000000004</v>
      </c>
      <c r="J14" s="298">
        <v>8.5288000000000004</v>
      </c>
      <c r="K14" s="298">
        <v>9.0378019999999992</v>
      </c>
      <c r="L14" s="298">
        <v>9.5417810000000003</v>
      </c>
      <c r="M14" s="298">
        <v>9.5568039999999996</v>
      </c>
      <c r="N14" s="298">
        <v>9.5754859999999997</v>
      </c>
      <c r="O14" s="298">
        <v>9.6082459999999994</v>
      </c>
      <c r="P14" s="298">
        <v>9.5525409999999997</v>
      </c>
      <c r="Q14" s="298">
        <v>9.4165030000000005</v>
      </c>
      <c r="R14" s="298">
        <v>9.2888249999999992</v>
      </c>
      <c r="S14" s="298">
        <v>9.1907350000000001</v>
      </c>
      <c r="T14" s="298">
        <v>9.0728480000000005</v>
      </c>
      <c r="U14" s="298">
        <v>9.0041829999999994</v>
      </c>
      <c r="V14" s="298">
        <v>8.8329439999999995</v>
      </c>
      <c r="W14" s="298">
        <v>8.6696600000000004</v>
      </c>
      <c r="X14" s="298">
        <v>8.5159219999999998</v>
      </c>
      <c r="Y14" s="298">
        <v>8.3804160000000003</v>
      </c>
      <c r="Z14" s="298">
        <v>8.3047140000000006</v>
      </c>
      <c r="AA14" s="298">
        <v>8.1595440000000004</v>
      </c>
      <c r="AB14" s="298">
        <v>8.0727349999999998</v>
      </c>
      <c r="AC14" s="298">
        <v>8.0446790000000004</v>
      </c>
      <c r="AD14" s="298">
        <v>7.984591</v>
      </c>
      <c r="AE14" s="298">
        <v>7.8722690000000002</v>
      </c>
      <c r="AF14" s="298">
        <v>7.7546290000000004</v>
      </c>
      <c r="AG14" s="298">
        <v>7.6994870000000004</v>
      </c>
      <c r="AH14" s="298">
        <v>7.5588430000000004</v>
      </c>
      <c r="AI14" s="298">
        <v>7.5302829999999998</v>
      </c>
      <c r="AJ14" s="298">
        <v>7.4801669999999998</v>
      </c>
      <c r="AK14" s="299">
        <v>5.0000000000000001E-3</v>
      </c>
    </row>
    <row r="15" spans="1:37">
      <c r="A15" s="6" t="s">
        <v>181</v>
      </c>
      <c r="B15" s="353">
        <v>0.74099999666214</v>
      </c>
      <c r="C15" s="353">
        <v>0.71899998188018799</v>
      </c>
      <c r="D15" s="353">
        <v>0.68000000715255704</v>
      </c>
      <c r="E15" s="353">
        <v>0.73478877544403098</v>
      </c>
      <c r="F15" s="354">
        <v>0.68565064668655396</v>
      </c>
      <c r="G15" s="298">
        <v>0.57199999999999995</v>
      </c>
      <c r="H15" s="298">
        <v>0.53</v>
      </c>
      <c r="I15" s="298">
        <v>0.51</v>
      </c>
      <c r="J15" s="298">
        <v>0.4738</v>
      </c>
      <c r="K15" s="298">
        <v>0.462835</v>
      </c>
      <c r="L15" s="298">
        <v>0.46215800000000001</v>
      </c>
      <c r="M15" s="298">
        <v>0.46993800000000002</v>
      </c>
      <c r="N15" s="298">
        <v>0.47195500000000001</v>
      </c>
      <c r="O15" s="298">
        <v>0.45399899999999999</v>
      </c>
      <c r="P15" s="298">
        <v>0.43714199999999998</v>
      </c>
      <c r="Q15" s="298">
        <v>0.41283700000000001</v>
      </c>
      <c r="R15" s="298">
        <v>0.388714</v>
      </c>
      <c r="S15" s="298">
        <v>0.36631000000000002</v>
      </c>
      <c r="T15" s="298">
        <v>0.34568500000000002</v>
      </c>
      <c r="U15" s="298">
        <v>0.32666899999999999</v>
      </c>
      <c r="V15" s="298">
        <v>0.30766500000000002</v>
      </c>
      <c r="W15" s="298">
        <v>0.28877399999999998</v>
      </c>
      <c r="X15" s="298">
        <v>0.27134900000000001</v>
      </c>
      <c r="Y15" s="298">
        <v>0.25525500000000001</v>
      </c>
      <c r="Z15" s="298">
        <v>0.240371</v>
      </c>
      <c r="AA15" s="298">
        <v>0.22658700000000001</v>
      </c>
      <c r="AB15" s="298">
        <v>0.273065</v>
      </c>
      <c r="AC15" s="298">
        <v>0.34021099999999999</v>
      </c>
      <c r="AD15" s="298">
        <v>0.38843800000000001</v>
      </c>
      <c r="AE15" s="298">
        <v>0.378168</v>
      </c>
      <c r="AF15" s="298">
        <v>0.36859700000000001</v>
      </c>
      <c r="AG15" s="298">
        <v>0.35966500000000001</v>
      </c>
      <c r="AH15" s="298">
        <v>0.321691</v>
      </c>
      <c r="AI15" s="298">
        <v>0.28870200000000001</v>
      </c>
      <c r="AJ15" s="298">
        <v>0.25998700000000002</v>
      </c>
      <c r="AK15" s="299">
        <v>-2.5000000000000001E-2</v>
      </c>
    </row>
    <row r="16" spans="1:37">
      <c r="A16" s="6" t="s">
        <v>180</v>
      </c>
      <c r="B16" s="353">
        <v>4.3610000610351598</v>
      </c>
      <c r="C16" s="353">
        <v>4.34800004959106</v>
      </c>
      <c r="D16" s="353">
        <v>4.2739996910095197</v>
      </c>
      <c r="E16" s="353">
        <v>4.6451601982116699</v>
      </c>
      <c r="F16" s="354">
        <v>4.9238753318786603</v>
      </c>
      <c r="G16" s="298">
        <v>5.0860000000000003</v>
      </c>
      <c r="H16" s="298">
        <v>5.9640000000000004</v>
      </c>
      <c r="I16" s="298">
        <v>7.2119999999999997</v>
      </c>
      <c r="J16" s="298">
        <v>8.0549999999999997</v>
      </c>
      <c r="K16" s="298">
        <v>8.5749659999999999</v>
      </c>
      <c r="L16" s="298">
        <v>9.0796240000000008</v>
      </c>
      <c r="M16" s="298">
        <v>9.0868660000000006</v>
      </c>
      <c r="N16" s="298">
        <v>9.1035310000000003</v>
      </c>
      <c r="O16" s="298">
        <v>9.1542469999999998</v>
      </c>
      <c r="P16" s="298">
        <v>9.1153980000000008</v>
      </c>
      <c r="Q16" s="298">
        <v>9.0036670000000001</v>
      </c>
      <c r="R16" s="298">
        <v>8.9001110000000008</v>
      </c>
      <c r="S16" s="298">
        <v>8.8244249999999997</v>
      </c>
      <c r="T16" s="298">
        <v>8.7271629999999991</v>
      </c>
      <c r="U16" s="298">
        <v>8.6775140000000004</v>
      </c>
      <c r="V16" s="298">
        <v>8.5252789999999994</v>
      </c>
      <c r="W16" s="298">
        <v>8.3808860000000003</v>
      </c>
      <c r="X16" s="298">
        <v>8.2445730000000008</v>
      </c>
      <c r="Y16" s="298">
        <v>8.1251610000000003</v>
      </c>
      <c r="Z16" s="298">
        <v>8.0643429999999992</v>
      </c>
      <c r="AA16" s="298">
        <v>7.932957</v>
      </c>
      <c r="AB16" s="298">
        <v>7.7996699999999999</v>
      </c>
      <c r="AC16" s="298">
        <v>7.7044680000000003</v>
      </c>
      <c r="AD16" s="298">
        <v>7.5961540000000003</v>
      </c>
      <c r="AE16" s="298">
        <v>7.4941009999999997</v>
      </c>
      <c r="AF16" s="298">
        <v>7.3860330000000003</v>
      </c>
      <c r="AG16" s="298">
        <v>7.3398209999999997</v>
      </c>
      <c r="AH16" s="298">
        <v>7.2371509999999999</v>
      </c>
      <c r="AI16" s="298">
        <v>7.241581</v>
      </c>
      <c r="AJ16" s="298">
        <v>7.2201810000000002</v>
      </c>
      <c r="AK16" s="299">
        <v>7.0000000000000001E-3</v>
      </c>
    </row>
    <row r="17" spans="1:38">
      <c r="A17" s="6" t="s">
        <v>179</v>
      </c>
      <c r="B17" s="353">
        <v>10.093000411987299</v>
      </c>
      <c r="C17" s="353">
        <v>10.003999710083001</v>
      </c>
      <c r="D17" s="353">
        <v>9.7010002136230504</v>
      </c>
      <c r="E17" s="353">
        <v>8.9919996261596697</v>
      </c>
      <c r="F17" s="354">
        <v>8.3191394805908203</v>
      </c>
      <c r="G17" s="298">
        <v>8.8879999999999999</v>
      </c>
      <c r="H17" s="298">
        <v>8.4319989999999994</v>
      </c>
      <c r="I17" s="298">
        <v>7.3609999999999998</v>
      </c>
      <c r="J17" s="298">
        <v>6.452</v>
      </c>
      <c r="K17" s="298">
        <v>6.1656769999999996</v>
      </c>
      <c r="L17" s="298">
        <v>5.7677230000000002</v>
      </c>
      <c r="M17" s="298">
        <v>5.8143669999999998</v>
      </c>
      <c r="N17" s="298">
        <v>5.8087150000000003</v>
      </c>
      <c r="O17" s="298">
        <v>5.7589199999999998</v>
      </c>
      <c r="P17" s="298">
        <v>5.7870730000000004</v>
      </c>
      <c r="Q17" s="298">
        <v>5.8889449999999997</v>
      </c>
      <c r="R17" s="298">
        <v>5.9421790000000003</v>
      </c>
      <c r="S17" s="298">
        <v>5.9748789999999996</v>
      </c>
      <c r="T17" s="298">
        <v>6.0359290000000003</v>
      </c>
      <c r="U17" s="298">
        <v>6.0526869999999997</v>
      </c>
      <c r="V17" s="298">
        <v>6.1879960000000001</v>
      </c>
      <c r="W17" s="298">
        <v>6.3329610000000001</v>
      </c>
      <c r="X17" s="298">
        <v>6.455387</v>
      </c>
      <c r="Y17" s="298">
        <v>6.5668860000000002</v>
      </c>
      <c r="Z17" s="298">
        <v>6.635491</v>
      </c>
      <c r="AA17" s="298">
        <v>6.7795449999999997</v>
      </c>
      <c r="AB17" s="298">
        <v>6.8623289999999999</v>
      </c>
      <c r="AC17" s="298">
        <v>6.8977040000000001</v>
      </c>
      <c r="AD17" s="298">
        <v>6.9983430000000002</v>
      </c>
      <c r="AE17" s="298">
        <v>7.1493440000000001</v>
      </c>
      <c r="AF17" s="298">
        <v>7.303795</v>
      </c>
      <c r="AG17" s="298">
        <v>7.4063970000000001</v>
      </c>
      <c r="AH17" s="298">
        <v>7.6181229999999998</v>
      </c>
      <c r="AI17" s="298">
        <v>7.6624980000000003</v>
      </c>
      <c r="AJ17" s="298">
        <v>7.742801</v>
      </c>
      <c r="AK17" s="299">
        <v>-3.0000000000000001E-3</v>
      </c>
    </row>
    <row r="18" spans="1:38">
      <c r="A18" s="6" t="s">
        <v>178</v>
      </c>
      <c r="B18" s="353">
        <v>10.118000030517599</v>
      </c>
      <c r="C18" s="353">
        <v>10.0310001373291</v>
      </c>
      <c r="D18" s="353">
        <v>9.7280006408691406</v>
      </c>
      <c r="E18" s="353">
        <v>9.0190000534057599</v>
      </c>
      <c r="F18" s="354">
        <v>8.3490304946899396</v>
      </c>
      <c r="G18" s="298">
        <v>8.9350000000000005</v>
      </c>
      <c r="H18" s="298">
        <v>8.4920000000000009</v>
      </c>
      <c r="I18" s="298">
        <v>7.4809999999999999</v>
      </c>
      <c r="J18" s="298">
        <v>6.585</v>
      </c>
      <c r="K18" s="298">
        <v>6.3116139999999996</v>
      </c>
      <c r="L18" s="298">
        <v>5.9214209999999996</v>
      </c>
      <c r="M18" s="298">
        <v>5.9680070000000001</v>
      </c>
      <c r="N18" s="298">
        <v>5.9630130000000001</v>
      </c>
      <c r="O18" s="298">
        <v>5.9123679999999998</v>
      </c>
      <c r="P18" s="298">
        <v>5.9393659999999997</v>
      </c>
      <c r="Q18" s="298">
        <v>6.0361729999999998</v>
      </c>
      <c r="R18" s="298">
        <v>6.0801559999999997</v>
      </c>
      <c r="S18" s="298">
        <v>6.1090929999999997</v>
      </c>
      <c r="T18" s="298">
        <v>6.1684799999999997</v>
      </c>
      <c r="U18" s="298">
        <v>6.1836919999999997</v>
      </c>
      <c r="V18" s="298">
        <v>6.31792</v>
      </c>
      <c r="W18" s="298">
        <v>6.4623739999999996</v>
      </c>
      <c r="X18" s="298">
        <v>6.5838710000000003</v>
      </c>
      <c r="Y18" s="298">
        <v>6.6953279999999999</v>
      </c>
      <c r="Z18" s="298">
        <v>6.7654339999999999</v>
      </c>
      <c r="AA18" s="298">
        <v>6.9090009999999999</v>
      </c>
      <c r="AB18" s="298">
        <v>6.9898129999999998</v>
      </c>
      <c r="AC18" s="298">
        <v>7.0234620000000003</v>
      </c>
      <c r="AD18" s="298">
        <v>7.1230440000000002</v>
      </c>
      <c r="AE18" s="298">
        <v>7.2727890000000004</v>
      </c>
      <c r="AF18" s="298">
        <v>7.4277439999999997</v>
      </c>
      <c r="AG18" s="298">
        <v>7.5305350000000004</v>
      </c>
      <c r="AH18" s="298">
        <v>7.7422449999999996</v>
      </c>
      <c r="AI18" s="298">
        <v>7.7863189999999998</v>
      </c>
      <c r="AJ18" s="298">
        <v>7.866511</v>
      </c>
      <c r="AK18" s="299">
        <v>-3.0000000000000001E-3</v>
      </c>
    </row>
    <row r="19" spans="1:38">
      <c r="A19" s="6" t="s">
        <v>169</v>
      </c>
      <c r="B19" s="353">
        <v>2.5000000372528999E-2</v>
      </c>
      <c r="C19" s="353">
        <v>2.70000007003546E-2</v>
      </c>
      <c r="D19" s="353">
        <v>2.70000007003546E-2</v>
      </c>
      <c r="E19" s="353">
        <v>2.70000007003546E-2</v>
      </c>
      <c r="F19" s="354">
        <v>2.9890902340412102E-2</v>
      </c>
      <c r="G19" s="298">
        <v>4.7E-2</v>
      </c>
      <c r="H19" s="298">
        <v>0.06</v>
      </c>
      <c r="I19" s="298">
        <v>0.12</v>
      </c>
      <c r="J19" s="298">
        <v>0.13300000000000001</v>
      </c>
      <c r="K19" s="298">
        <v>0.14593700000000001</v>
      </c>
      <c r="L19" s="298">
        <v>0.153697</v>
      </c>
      <c r="M19" s="298">
        <v>0.15364</v>
      </c>
      <c r="N19" s="298">
        <v>0.15429799999999999</v>
      </c>
      <c r="O19" s="298">
        <v>0.153447</v>
      </c>
      <c r="P19" s="298">
        <v>0.15229300000000001</v>
      </c>
      <c r="Q19" s="298">
        <v>0.147228</v>
      </c>
      <c r="R19" s="298">
        <v>0.13797699999999999</v>
      </c>
      <c r="S19" s="298">
        <v>0.134215</v>
      </c>
      <c r="T19" s="298">
        <v>0.132551</v>
      </c>
      <c r="U19" s="298">
        <v>0.13100500000000001</v>
      </c>
      <c r="V19" s="298">
        <v>0.12992400000000001</v>
      </c>
      <c r="W19" s="298">
        <v>0.129414</v>
      </c>
      <c r="X19" s="298">
        <v>0.12848499999999999</v>
      </c>
      <c r="Y19" s="298">
        <v>0.128441</v>
      </c>
      <c r="Z19" s="298">
        <v>0.129943</v>
      </c>
      <c r="AA19" s="298">
        <v>0.12945599999999999</v>
      </c>
      <c r="AB19" s="298">
        <v>0.12748399999999999</v>
      </c>
      <c r="AC19" s="298">
        <v>0.12575900000000001</v>
      </c>
      <c r="AD19" s="298">
        <v>0.12470100000000001</v>
      </c>
      <c r="AE19" s="298">
        <v>0.123445</v>
      </c>
      <c r="AF19" s="298">
        <v>0.123949</v>
      </c>
      <c r="AG19" s="298">
        <v>0.124137</v>
      </c>
      <c r="AH19" s="298">
        <v>0.124122</v>
      </c>
      <c r="AI19" s="298">
        <v>0.123821</v>
      </c>
      <c r="AJ19" s="298">
        <v>0.12371</v>
      </c>
      <c r="AK19" s="299">
        <v>2.5999999999999999E-2</v>
      </c>
    </row>
    <row r="20" spans="1:38">
      <c r="A20" s="6" t="s">
        <v>177</v>
      </c>
      <c r="B20" s="353">
        <v>4.80000004172325E-2</v>
      </c>
      <c r="C20" s="353">
        <v>8.79999995231628E-2</v>
      </c>
      <c r="D20" s="353">
        <v>-2.9999997466802601E-2</v>
      </c>
      <c r="E20" s="353">
        <v>1.9999999552965199E-2</v>
      </c>
      <c r="F20" s="354">
        <v>0</v>
      </c>
      <c r="G20" s="298">
        <v>0.26600000000000001</v>
      </c>
      <c r="H20" s="298">
        <v>8.6999999999999994E-2</v>
      </c>
      <c r="I20" s="298">
        <v>0.23400000000000001</v>
      </c>
      <c r="J20" s="298">
        <v>0.161</v>
      </c>
      <c r="K20" s="298">
        <v>0</v>
      </c>
      <c r="L20" s="298">
        <v>0</v>
      </c>
      <c r="M20" s="298">
        <v>0</v>
      </c>
      <c r="N20" s="298">
        <v>0</v>
      </c>
      <c r="O20" s="298">
        <v>0</v>
      </c>
      <c r="P20" s="298">
        <v>0</v>
      </c>
      <c r="Q20" s="298">
        <v>0</v>
      </c>
      <c r="R20" s="298">
        <v>0</v>
      </c>
      <c r="S20" s="298">
        <v>0</v>
      </c>
      <c r="T20" s="298">
        <v>0</v>
      </c>
      <c r="U20" s="298">
        <v>0</v>
      </c>
      <c r="V20" s="298">
        <v>0</v>
      </c>
      <c r="W20" s="298">
        <v>0</v>
      </c>
      <c r="X20" s="298">
        <v>0</v>
      </c>
      <c r="Y20" s="298">
        <v>0</v>
      </c>
      <c r="Z20" s="298">
        <v>0</v>
      </c>
      <c r="AA20" s="298">
        <v>0</v>
      </c>
      <c r="AB20" s="298">
        <v>0</v>
      </c>
      <c r="AC20" s="298">
        <v>0</v>
      </c>
      <c r="AD20" s="298">
        <v>0</v>
      </c>
      <c r="AE20" s="298">
        <v>0</v>
      </c>
      <c r="AF20" s="298">
        <v>0</v>
      </c>
      <c r="AG20" s="298">
        <v>0</v>
      </c>
      <c r="AH20" s="298">
        <v>0</v>
      </c>
      <c r="AI20" s="298">
        <v>0</v>
      </c>
      <c r="AJ20" s="298">
        <v>0</v>
      </c>
      <c r="AK20" s="298" t="s">
        <v>41</v>
      </c>
    </row>
    <row r="21" spans="1:38">
      <c r="A21" s="6" t="s">
        <v>176</v>
      </c>
      <c r="B21" s="353">
        <v>15.2430009841919</v>
      </c>
      <c r="C21" s="353">
        <v>15.158999443054199</v>
      </c>
      <c r="D21" s="353">
        <v>14.625</v>
      </c>
      <c r="E21" s="353">
        <v>14.3919486999512</v>
      </c>
      <c r="F21" s="354">
        <v>13.9286651611328</v>
      </c>
      <c r="G21" s="249">
        <v>14.811999999999999</v>
      </c>
      <c r="H21" s="249">
        <v>15.012999000000001</v>
      </c>
      <c r="I21" s="249">
        <v>15.317</v>
      </c>
      <c r="J21" s="249">
        <v>15.141800999999999</v>
      </c>
      <c r="K21" s="249">
        <v>15.203478</v>
      </c>
      <c r="L21" s="249">
        <v>15.309505</v>
      </c>
      <c r="M21" s="249">
        <v>15.371171</v>
      </c>
      <c r="N21" s="249">
        <v>15.384200999999999</v>
      </c>
      <c r="O21" s="249">
        <v>15.367167</v>
      </c>
      <c r="P21" s="249">
        <v>15.339613999999999</v>
      </c>
      <c r="Q21" s="249">
        <v>15.305448999999999</v>
      </c>
      <c r="R21" s="249">
        <v>15.231005</v>
      </c>
      <c r="S21" s="249">
        <v>15.165613</v>
      </c>
      <c r="T21" s="249">
        <v>15.108777</v>
      </c>
      <c r="U21" s="249">
        <v>15.05687</v>
      </c>
      <c r="V21" s="249">
        <v>15.020941000000001</v>
      </c>
      <c r="W21" s="249">
        <v>15.002621</v>
      </c>
      <c r="X21" s="249">
        <v>14.971308000000001</v>
      </c>
      <c r="Y21" s="249">
        <v>14.947302000000001</v>
      </c>
      <c r="Z21" s="249">
        <v>14.940206</v>
      </c>
      <c r="AA21" s="249">
        <v>14.939088999999999</v>
      </c>
      <c r="AB21" s="249">
        <v>14.935063</v>
      </c>
      <c r="AC21" s="249">
        <v>14.942383</v>
      </c>
      <c r="AD21" s="249">
        <v>14.982934999999999</v>
      </c>
      <c r="AE21" s="249">
        <v>15.021611999999999</v>
      </c>
      <c r="AF21" s="249">
        <v>15.058424</v>
      </c>
      <c r="AG21" s="249">
        <v>15.105885000000001</v>
      </c>
      <c r="AH21" s="249">
        <v>15.176966</v>
      </c>
      <c r="AI21" s="249">
        <v>15.192781</v>
      </c>
      <c r="AJ21" s="249">
        <v>15.222968</v>
      </c>
      <c r="AK21" s="250">
        <v>0</v>
      </c>
    </row>
    <row r="23" spans="1:38">
      <c r="A23" s="6" t="s">
        <v>175</v>
      </c>
    </row>
    <row r="24" spans="1:38" s="252" customFormat="1">
      <c r="A24" s="251" t="s">
        <v>174</v>
      </c>
      <c r="B24" s="353">
        <v>1.7380001544952399</v>
      </c>
      <c r="C24" s="353">
        <v>1.7829999923706099</v>
      </c>
      <c r="D24" s="353">
        <v>1.82499992847443</v>
      </c>
      <c r="E24" s="353">
        <v>1.81299996376038</v>
      </c>
      <c r="F24" s="354">
        <v>1.86609554290771</v>
      </c>
      <c r="G24" s="300">
        <v>2.2160000000000002</v>
      </c>
      <c r="H24" s="300">
        <v>2.4</v>
      </c>
      <c r="I24" s="300">
        <v>2.4900000000000002</v>
      </c>
      <c r="J24" s="300">
        <v>2.5089999999999999</v>
      </c>
      <c r="K24" s="300">
        <v>2.5561180000000001</v>
      </c>
      <c r="L24" s="300">
        <v>2.6337290000000002</v>
      </c>
      <c r="M24" s="300">
        <v>2.6633930000000001</v>
      </c>
      <c r="N24" s="300">
        <v>2.6705079999999999</v>
      </c>
      <c r="O24" s="300">
        <v>2.669905</v>
      </c>
      <c r="P24" s="300">
        <v>2.6458759999999999</v>
      </c>
      <c r="Q24" s="300">
        <v>2.60798</v>
      </c>
      <c r="R24" s="300">
        <v>2.7045080000000001</v>
      </c>
      <c r="S24" s="300">
        <v>2.7930269999999999</v>
      </c>
      <c r="T24" s="300">
        <v>2.8390249999999999</v>
      </c>
      <c r="U24" s="300">
        <v>2.8728980000000002</v>
      </c>
      <c r="V24" s="300">
        <v>2.9033150000000001</v>
      </c>
      <c r="W24" s="300">
        <v>2.9228930000000002</v>
      </c>
      <c r="X24" s="300">
        <v>2.9406509999999999</v>
      </c>
      <c r="Y24" s="300">
        <v>2.9505080000000001</v>
      </c>
      <c r="Z24" s="300">
        <v>2.978853</v>
      </c>
      <c r="AA24" s="300">
        <v>3.0103460000000002</v>
      </c>
      <c r="AB24" s="300">
        <v>3.0288490000000001</v>
      </c>
      <c r="AC24" s="300">
        <v>3.0383969999999998</v>
      </c>
      <c r="AD24" s="300">
        <v>3.0546120000000001</v>
      </c>
      <c r="AE24" s="300">
        <v>3.0492400000000002</v>
      </c>
      <c r="AF24" s="300">
        <v>3.0289980000000001</v>
      </c>
      <c r="AG24" s="300">
        <v>3.058621</v>
      </c>
      <c r="AH24" s="300">
        <v>3.037477</v>
      </c>
      <c r="AI24" s="300">
        <v>3.013617</v>
      </c>
      <c r="AJ24" s="300">
        <v>2.983552</v>
      </c>
      <c r="AK24" s="301">
        <v>8.0000000000000002E-3</v>
      </c>
    </row>
    <row r="25" spans="1:38">
      <c r="A25" s="6" t="s">
        <v>173</v>
      </c>
      <c r="B25" s="353">
        <v>2.3140001296997101</v>
      </c>
      <c r="C25" s="353">
        <v>2.0869998931884801</v>
      </c>
      <c r="D25" s="353">
        <v>1.29999995231628</v>
      </c>
      <c r="E25" s="353">
        <v>1.3280000686645499</v>
      </c>
      <c r="F25" s="354">
        <v>1.6039888858795199</v>
      </c>
      <c r="G25" s="298">
        <v>-0.252</v>
      </c>
      <c r="H25" s="298">
        <v>-0.91600000000000004</v>
      </c>
      <c r="I25" s="298">
        <v>-0.98799999999999999</v>
      </c>
      <c r="J25" s="298">
        <v>-1.0289999999999999</v>
      </c>
      <c r="K25" s="298">
        <v>-0.96462499999999995</v>
      </c>
      <c r="L25" s="298">
        <v>-0.94448699999999997</v>
      </c>
      <c r="M25" s="298">
        <v>-0.93183700000000003</v>
      </c>
      <c r="N25" s="298">
        <v>-0.91123600000000005</v>
      </c>
      <c r="O25" s="298">
        <v>-0.88706300000000005</v>
      </c>
      <c r="P25" s="298">
        <v>-0.85573100000000002</v>
      </c>
      <c r="Q25" s="298">
        <v>-0.83163799999999999</v>
      </c>
      <c r="R25" s="298">
        <v>-0.89107099999999995</v>
      </c>
      <c r="S25" s="298">
        <v>-0.94251600000000002</v>
      </c>
      <c r="T25" s="298">
        <v>-0.97565599999999997</v>
      </c>
      <c r="U25" s="298">
        <v>-1.0068220000000001</v>
      </c>
      <c r="V25" s="298">
        <v>-1.068271</v>
      </c>
      <c r="W25" s="298">
        <v>-1.122708</v>
      </c>
      <c r="X25" s="298">
        <v>-1.1588719999999999</v>
      </c>
      <c r="Y25" s="298">
        <v>-1.2142729999999999</v>
      </c>
      <c r="Z25" s="298">
        <v>-1.293569</v>
      </c>
      <c r="AA25" s="298">
        <v>-1.3683129999999999</v>
      </c>
      <c r="AB25" s="298">
        <v>-1.4270320000000001</v>
      </c>
      <c r="AC25" s="298">
        <v>-1.482378</v>
      </c>
      <c r="AD25" s="298">
        <v>-1.563064</v>
      </c>
      <c r="AE25" s="298">
        <v>-1.613156</v>
      </c>
      <c r="AF25" s="298">
        <v>-1.650264</v>
      </c>
      <c r="AG25" s="298">
        <v>-1.716191</v>
      </c>
      <c r="AH25" s="298">
        <v>-1.7615620000000001</v>
      </c>
      <c r="AI25" s="298">
        <v>-1.7771790000000001</v>
      </c>
      <c r="AJ25" s="298">
        <v>-1.816797</v>
      </c>
      <c r="AK25" s="299">
        <v>2.5000000000000001E-2</v>
      </c>
    </row>
    <row r="26" spans="1:38">
      <c r="A26" s="6" t="s">
        <v>172</v>
      </c>
      <c r="B26" s="353">
        <v>2.1710000038146999</v>
      </c>
      <c r="C26" s="353">
        <v>1.93800008296967</v>
      </c>
      <c r="D26" s="353">
        <v>1.0240000486373899</v>
      </c>
      <c r="E26" s="353">
        <v>1.06200003623962</v>
      </c>
      <c r="F26" s="354">
        <v>1.54514491558075</v>
      </c>
      <c r="G26" s="298">
        <v>1.151</v>
      </c>
      <c r="H26" s="298">
        <v>0.84799999999999998</v>
      </c>
      <c r="I26" s="298">
        <v>0.70899999999999996</v>
      </c>
      <c r="J26" s="298">
        <v>0.72</v>
      </c>
      <c r="K26" s="298">
        <v>0.81863200000000003</v>
      </c>
      <c r="L26" s="298">
        <v>0.88173000000000001</v>
      </c>
      <c r="M26" s="298">
        <v>0.906914</v>
      </c>
      <c r="N26" s="298">
        <v>0.93180099999999999</v>
      </c>
      <c r="O26" s="298">
        <v>0.95816500000000004</v>
      </c>
      <c r="P26" s="298">
        <v>0.97589599999999999</v>
      </c>
      <c r="Q26" s="298">
        <v>0.98990599999999995</v>
      </c>
      <c r="R26" s="298">
        <v>1.006778</v>
      </c>
      <c r="S26" s="298">
        <v>1.0199199999999999</v>
      </c>
      <c r="T26" s="298">
        <v>1.03091</v>
      </c>
      <c r="U26" s="298">
        <v>1.05515</v>
      </c>
      <c r="V26" s="298">
        <v>1.0587679999999999</v>
      </c>
      <c r="W26" s="298">
        <v>1.0657570000000001</v>
      </c>
      <c r="X26" s="298">
        <v>1.0659179999999999</v>
      </c>
      <c r="Y26" s="298">
        <v>1.061431</v>
      </c>
      <c r="Z26" s="298">
        <v>1.0560160000000001</v>
      </c>
      <c r="AA26" s="298">
        <v>1.05697</v>
      </c>
      <c r="AB26" s="298">
        <v>1.0702149999999999</v>
      </c>
      <c r="AC26" s="298">
        <v>1.072165</v>
      </c>
      <c r="AD26" s="298">
        <v>1.0766100000000001</v>
      </c>
      <c r="AE26" s="298">
        <v>1.0822270000000001</v>
      </c>
      <c r="AF26" s="298">
        <v>1.093154</v>
      </c>
      <c r="AG26" s="298">
        <v>1.095712</v>
      </c>
      <c r="AH26" s="298">
        <v>1.0972550000000001</v>
      </c>
      <c r="AI26" s="298">
        <v>1.1087450000000001</v>
      </c>
      <c r="AJ26" s="298">
        <v>1.0974060000000001</v>
      </c>
      <c r="AK26" s="299">
        <v>8.9999999999999993E-3</v>
      </c>
    </row>
    <row r="27" spans="1:38">
      <c r="A27" s="6" t="s">
        <v>171</v>
      </c>
      <c r="B27" s="353">
        <v>0.68900001049041704</v>
      </c>
      <c r="C27" s="353">
        <v>0.71700000762939498</v>
      </c>
      <c r="D27" s="353">
        <v>0.60663330554962203</v>
      </c>
      <c r="E27" s="353">
        <v>0.60996818542480502</v>
      </c>
      <c r="F27" s="354">
        <v>0.60277581214904796</v>
      </c>
      <c r="G27" s="298">
        <v>0.68700000000000006</v>
      </c>
      <c r="H27" s="298">
        <v>0.60299999999999998</v>
      </c>
      <c r="I27" s="298">
        <v>0.58599999999999997</v>
      </c>
      <c r="J27" s="298">
        <v>0.54400000000000004</v>
      </c>
      <c r="K27" s="298">
        <v>0.540385</v>
      </c>
      <c r="L27" s="298">
        <v>0.53676900000000005</v>
      </c>
      <c r="M27" s="298">
        <v>0.53315299999999999</v>
      </c>
      <c r="N27" s="298">
        <v>0.52953899999999998</v>
      </c>
      <c r="O27" s="298">
        <v>0.52592300000000003</v>
      </c>
      <c r="P27" s="298">
        <v>0.52230699999999997</v>
      </c>
      <c r="Q27" s="298">
        <v>0.51869299999999996</v>
      </c>
      <c r="R27" s="298">
        <v>0.51507700000000001</v>
      </c>
      <c r="S27" s="298">
        <v>0.51146100000000005</v>
      </c>
      <c r="T27" s="298">
        <v>0.50784600000000002</v>
      </c>
      <c r="U27" s="298">
        <v>0.50423099999999998</v>
      </c>
      <c r="V27" s="298">
        <v>0.50061500000000003</v>
      </c>
      <c r="W27" s="298">
        <v>0.497</v>
      </c>
      <c r="X27" s="298">
        <v>0.49338500000000002</v>
      </c>
      <c r="Y27" s="298">
        <v>0.48976900000000001</v>
      </c>
      <c r="Z27" s="298">
        <v>0.48615399999999998</v>
      </c>
      <c r="AA27" s="298">
        <v>0.48253800000000002</v>
      </c>
      <c r="AB27" s="298">
        <v>0.47892299999999999</v>
      </c>
      <c r="AC27" s="298">
        <v>0.47530800000000001</v>
      </c>
      <c r="AD27" s="298">
        <v>0.471692</v>
      </c>
      <c r="AE27" s="298">
        <v>0.46807700000000002</v>
      </c>
      <c r="AF27" s="298">
        <v>0.46446199999999999</v>
      </c>
      <c r="AG27" s="298">
        <v>0.46084599999999998</v>
      </c>
      <c r="AH27" s="298">
        <v>0.45723000000000003</v>
      </c>
      <c r="AI27" s="298">
        <v>0.45361600000000002</v>
      </c>
      <c r="AJ27" s="298">
        <v>0.45</v>
      </c>
      <c r="AK27" s="299">
        <v>-0.01</v>
      </c>
    </row>
    <row r="28" spans="1:38">
      <c r="A28" s="6" t="s">
        <v>170</v>
      </c>
      <c r="B28" s="353">
        <v>0.67700004577636697</v>
      </c>
      <c r="C28" s="353">
        <v>0.75300002098083496</v>
      </c>
      <c r="D28" s="353">
        <v>0.73199999332428001</v>
      </c>
      <c r="E28" s="353">
        <v>0.71799999475479104</v>
      </c>
      <c r="F28" s="354">
        <v>0.62520116567611705</v>
      </c>
      <c r="G28" s="298">
        <v>0.71799999999999997</v>
      </c>
      <c r="H28" s="298">
        <v>0.61599999999999999</v>
      </c>
      <c r="I28" s="298">
        <v>0.61</v>
      </c>
      <c r="J28" s="298">
        <v>0.6</v>
      </c>
      <c r="K28" s="298">
        <v>0.67105999999999999</v>
      </c>
      <c r="L28" s="298">
        <v>0.66229499999999997</v>
      </c>
      <c r="M28" s="298">
        <v>0.65169100000000002</v>
      </c>
      <c r="N28" s="298">
        <v>0.64020900000000003</v>
      </c>
      <c r="O28" s="298">
        <v>0.62541100000000005</v>
      </c>
      <c r="P28" s="298">
        <v>0.61513700000000004</v>
      </c>
      <c r="Q28" s="298">
        <v>0.606742</v>
      </c>
      <c r="R28" s="298">
        <v>0.595522</v>
      </c>
      <c r="S28" s="298">
        <v>0.58620099999999997</v>
      </c>
      <c r="T28" s="298">
        <v>0.57591400000000004</v>
      </c>
      <c r="U28" s="298">
        <v>0.55055799999999999</v>
      </c>
      <c r="V28" s="298">
        <v>0.53803599999999996</v>
      </c>
      <c r="W28" s="298">
        <v>0.524864</v>
      </c>
      <c r="X28" s="298">
        <v>0.51505000000000001</v>
      </c>
      <c r="Y28" s="298">
        <v>0.50508799999999998</v>
      </c>
      <c r="Z28" s="298">
        <v>0.49612200000000001</v>
      </c>
      <c r="AA28" s="298">
        <v>0.48664200000000002</v>
      </c>
      <c r="AB28" s="298">
        <v>0.47747699999999998</v>
      </c>
      <c r="AC28" s="298">
        <v>0.46830300000000002</v>
      </c>
      <c r="AD28" s="298">
        <v>0.45679599999999998</v>
      </c>
      <c r="AE28" s="298">
        <v>0.44836500000000001</v>
      </c>
      <c r="AF28" s="298">
        <v>0.43787900000000002</v>
      </c>
      <c r="AG28" s="298">
        <v>0.42837799999999998</v>
      </c>
      <c r="AH28" s="298">
        <v>0.41841600000000001</v>
      </c>
      <c r="AI28" s="298">
        <v>0.40845399999999998</v>
      </c>
      <c r="AJ28" s="298">
        <v>0.39849099999999998</v>
      </c>
      <c r="AK28" s="299">
        <v>-1.4999999999999999E-2</v>
      </c>
    </row>
    <row r="29" spans="1:38">
      <c r="A29" s="6" t="s">
        <v>169</v>
      </c>
      <c r="B29" s="353">
        <v>1.2150000333786</v>
      </c>
      <c r="C29" s="353">
        <v>1.32100009918213</v>
      </c>
      <c r="D29" s="353">
        <v>1.2150000333786</v>
      </c>
      <c r="E29" s="353">
        <v>1.2150000333786</v>
      </c>
      <c r="F29" s="354">
        <v>1.16913342475891</v>
      </c>
      <c r="G29" s="298">
        <v>2.8079999999999998</v>
      </c>
      <c r="H29" s="298">
        <v>2.9830000000000001</v>
      </c>
      <c r="I29" s="298">
        <v>2.8929999999999998</v>
      </c>
      <c r="J29" s="298">
        <v>2.8929999999999998</v>
      </c>
      <c r="K29" s="298">
        <v>2.9947010000000001</v>
      </c>
      <c r="L29" s="298">
        <v>3.0252810000000001</v>
      </c>
      <c r="M29" s="298">
        <v>3.023596</v>
      </c>
      <c r="N29" s="298">
        <v>3.0127839999999999</v>
      </c>
      <c r="O29" s="298">
        <v>2.9965619999999999</v>
      </c>
      <c r="P29" s="298">
        <v>2.9690720000000002</v>
      </c>
      <c r="Q29" s="298">
        <v>2.9469789999999998</v>
      </c>
      <c r="R29" s="298">
        <v>3.0084490000000002</v>
      </c>
      <c r="S29" s="298">
        <v>3.0600990000000001</v>
      </c>
      <c r="T29" s="298">
        <v>3.090325</v>
      </c>
      <c r="U29" s="298">
        <v>3.1167609999999999</v>
      </c>
      <c r="V29" s="298">
        <v>3.1656900000000001</v>
      </c>
      <c r="W29" s="298">
        <v>3.2103290000000002</v>
      </c>
      <c r="X29" s="298">
        <v>3.2332260000000002</v>
      </c>
      <c r="Y29" s="298">
        <v>3.2705609999999998</v>
      </c>
      <c r="Z29" s="298">
        <v>3.331861</v>
      </c>
      <c r="AA29" s="298">
        <v>3.3944640000000001</v>
      </c>
      <c r="AB29" s="298">
        <v>3.4536470000000001</v>
      </c>
      <c r="AC29" s="298">
        <v>3.498154</v>
      </c>
      <c r="AD29" s="298">
        <v>3.5681620000000001</v>
      </c>
      <c r="AE29" s="298">
        <v>3.6118250000000001</v>
      </c>
      <c r="AF29" s="298">
        <v>3.6457579999999998</v>
      </c>
      <c r="AG29" s="298">
        <v>3.7011270000000001</v>
      </c>
      <c r="AH29" s="298">
        <v>3.7344629999999999</v>
      </c>
      <c r="AI29" s="298">
        <v>3.7479930000000001</v>
      </c>
      <c r="AJ29" s="298">
        <v>3.7626949999999999</v>
      </c>
      <c r="AK29" s="299">
        <v>8.0000000000000002E-3</v>
      </c>
    </row>
    <row r="30" spans="1:38">
      <c r="A30" s="6" t="s">
        <v>168</v>
      </c>
      <c r="B30" s="353">
        <v>0.99400001764297496</v>
      </c>
      <c r="C30" s="353">
        <v>0.99599999189376798</v>
      </c>
      <c r="D30" s="353">
        <v>0.99699997901916504</v>
      </c>
      <c r="E30" s="353">
        <v>0.97899997234344505</v>
      </c>
      <c r="F30" s="354">
        <v>0.97222220897674605</v>
      </c>
      <c r="G30" s="298">
        <v>1.0760000000000001</v>
      </c>
      <c r="H30" s="298">
        <v>1.077</v>
      </c>
      <c r="I30" s="298">
        <v>1.0620000000000001</v>
      </c>
      <c r="J30" s="298">
        <v>1.0549999999999999</v>
      </c>
      <c r="K30" s="298">
        <v>1.1173770000000001</v>
      </c>
      <c r="L30" s="298">
        <v>1.107977</v>
      </c>
      <c r="M30" s="298">
        <v>1.1068800000000001</v>
      </c>
      <c r="N30" s="298">
        <v>1.1013949999999999</v>
      </c>
      <c r="O30" s="298">
        <v>1.0899559999999999</v>
      </c>
      <c r="P30" s="298">
        <v>1.0810919999999999</v>
      </c>
      <c r="Q30" s="298">
        <v>1.070587</v>
      </c>
      <c r="R30" s="298">
        <v>1.0513539999999999</v>
      </c>
      <c r="S30" s="298">
        <v>1.032008</v>
      </c>
      <c r="T30" s="298">
        <v>1.0139609999999999</v>
      </c>
      <c r="U30" s="298">
        <v>0.99733000000000005</v>
      </c>
      <c r="V30" s="298">
        <v>0.98163100000000003</v>
      </c>
      <c r="W30" s="298">
        <v>0.97328499999999996</v>
      </c>
      <c r="X30" s="298">
        <v>0.96382100000000004</v>
      </c>
      <c r="Y30" s="298">
        <v>0.95674199999999998</v>
      </c>
      <c r="Z30" s="298">
        <v>0.95704199999999995</v>
      </c>
      <c r="AA30" s="298">
        <v>0.95328999999999997</v>
      </c>
      <c r="AB30" s="298">
        <v>0.95369499999999996</v>
      </c>
      <c r="AC30" s="298">
        <v>0.949291</v>
      </c>
      <c r="AD30" s="298">
        <v>0.94474999999999998</v>
      </c>
      <c r="AE30" s="298">
        <v>0.94433999999999996</v>
      </c>
      <c r="AF30" s="298">
        <v>0.94618999999999998</v>
      </c>
      <c r="AG30" s="298">
        <v>0.94669300000000001</v>
      </c>
      <c r="AH30" s="298">
        <v>0.95018899999999995</v>
      </c>
      <c r="AI30" s="298">
        <v>0.95436399999999999</v>
      </c>
      <c r="AJ30" s="298">
        <v>0.95464199999999999</v>
      </c>
      <c r="AK30" s="299">
        <v>-4.0000000000000001E-3</v>
      </c>
    </row>
    <row r="31" spans="1:38">
      <c r="A31" s="6" t="s">
        <v>691</v>
      </c>
      <c r="B31" s="353">
        <v>0.40835106372833302</v>
      </c>
      <c r="C31" s="353">
        <v>0.74303030967712402</v>
      </c>
      <c r="D31" s="353">
        <v>0.90019965171813998</v>
      </c>
      <c r="E31" s="353">
        <v>0.90936332941055298</v>
      </c>
      <c r="F31" s="354">
        <v>1.2169610261917101</v>
      </c>
      <c r="G31" s="298">
        <v>0.87458199999999997</v>
      </c>
      <c r="H31" s="298">
        <v>0.88629000000000002</v>
      </c>
      <c r="I31" s="298">
        <v>0.91131799999999996</v>
      </c>
      <c r="J31" s="298">
        <v>0.94543999999999995</v>
      </c>
      <c r="K31" s="298">
        <v>0.95931299999999997</v>
      </c>
      <c r="L31" s="298">
        <v>0.96406000000000003</v>
      </c>
      <c r="M31" s="298">
        <v>0.97751200000000005</v>
      </c>
      <c r="N31" s="298">
        <v>0.98974300000000004</v>
      </c>
      <c r="O31" s="298">
        <v>1.0016430000000001</v>
      </c>
      <c r="P31" s="298">
        <v>1.014486</v>
      </c>
      <c r="Q31" s="298">
        <v>1.026421</v>
      </c>
      <c r="R31" s="298">
        <v>1.04257</v>
      </c>
      <c r="S31" s="298">
        <v>1.0409060000000001</v>
      </c>
      <c r="T31" s="298">
        <v>1.042815</v>
      </c>
      <c r="U31" s="298">
        <v>1.0410189999999999</v>
      </c>
      <c r="V31" s="298">
        <v>1.0405869999999999</v>
      </c>
      <c r="W31" s="298">
        <v>1.0406690000000001</v>
      </c>
      <c r="X31" s="298">
        <v>1.0407820000000001</v>
      </c>
      <c r="Y31" s="298">
        <v>1.0402199999999999</v>
      </c>
      <c r="Z31" s="298">
        <v>1.0406690000000001</v>
      </c>
      <c r="AA31" s="298">
        <v>1.0418559999999999</v>
      </c>
      <c r="AB31" s="298">
        <v>1.0410980000000001</v>
      </c>
      <c r="AC31" s="298">
        <v>1.041115</v>
      </c>
      <c r="AD31" s="298">
        <v>1.0421020000000001</v>
      </c>
      <c r="AE31" s="298">
        <v>1.0415099999999999</v>
      </c>
      <c r="AF31" s="298">
        <v>1.039404</v>
      </c>
      <c r="AG31" s="298">
        <v>1.038624</v>
      </c>
      <c r="AH31" s="298">
        <v>1.041671</v>
      </c>
      <c r="AI31" s="298">
        <v>1.0532999999999999</v>
      </c>
      <c r="AJ31" s="298">
        <v>1.0676890000000001</v>
      </c>
      <c r="AK31" s="299">
        <v>7.0000000000000001E-3</v>
      </c>
    </row>
    <row r="32" spans="1:38" s="18" customFormat="1">
      <c r="A32" s="17" t="s">
        <v>167</v>
      </c>
      <c r="B32" s="355">
        <v>0.31900000572204601</v>
      </c>
      <c r="C32" s="355">
        <v>0.42500001192092901</v>
      </c>
      <c r="D32" s="355">
        <v>0.60299998521804798</v>
      </c>
      <c r="E32" s="355">
        <v>0.68500006198883101</v>
      </c>
      <c r="F32" s="356">
        <v>0.84147453308105502</v>
      </c>
      <c r="G32" s="298">
        <v>0.81834200000000001</v>
      </c>
      <c r="H32" s="298">
        <v>0.82725800000000005</v>
      </c>
      <c r="I32" s="298">
        <v>0.825187</v>
      </c>
      <c r="J32" s="298">
        <v>0.85004199999999996</v>
      </c>
      <c r="K32" s="298">
        <v>0.865282</v>
      </c>
      <c r="L32" s="298">
        <v>0.869251</v>
      </c>
      <c r="M32" s="298">
        <v>0.88145200000000001</v>
      </c>
      <c r="N32" s="298">
        <v>0.88586200000000004</v>
      </c>
      <c r="O32" s="298">
        <v>0.88890000000000002</v>
      </c>
      <c r="P32" s="298">
        <v>0.89585899999999996</v>
      </c>
      <c r="Q32" s="298">
        <v>0.89987200000000001</v>
      </c>
      <c r="R32" s="298">
        <v>0.91550900000000002</v>
      </c>
      <c r="S32" s="298">
        <v>0.91492399999999996</v>
      </c>
      <c r="T32" s="298">
        <v>0.91555299999999995</v>
      </c>
      <c r="U32" s="298">
        <v>0.91523600000000005</v>
      </c>
      <c r="V32" s="298">
        <v>0.91508800000000001</v>
      </c>
      <c r="W32" s="298">
        <v>0.91518600000000006</v>
      </c>
      <c r="X32" s="298">
        <v>0.91533399999999998</v>
      </c>
      <c r="Y32" s="298">
        <v>0.91476000000000002</v>
      </c>
      <c r="Z32" s="298">
        <v>0.91483099999999995</v>
      </c>
      <c r="AA32" s="298">
        <v>0.91463499999999998</v>
      </c>
      <c r="AB32" s="298">
        <v>0.91389500000000001</v>
      </c>
      <c r="AC32" s="298">
        <v>0.91388999999999998</v>
      </c>
      <c r="AD32" s="298">
        <v>0.91484699999999997</v>
      </c>
      <c r="AE32" s="298">
        <v>0.91425800000000002</v>
      </c>
      <c r="AF32" s="298">
        <v>0.91217999999999999</v>
      </c>
      <c r="AG32" s="298">
        <v>0.91165499999999999</v>
      </c>
      <c r="AH32" s="298">
        <v>0.91445399999999999</v>
      </c>
      <c r="AI32" s="298">
        <v>0.92887299999999995</v>
      </c>
      <c r="AJ32" s="298">
        <v>0.94600499999999998</v>
      </c>
      <c r="AK32" s="299">
        <v>5.0000000000000001E-3</v>
      </c>
      <c r="AL32" s="51">
        <f>C32*(1+AK32)^23</f>
        <v>0.4766596202229666</v>
      </c>
    </row>
    <row r="33" spans="1:38" s="18" customFormat="1">
      <c r="A33" s="17" t="s">
        <v>165</v>
      </c>
      <c r="B33" s="355">
        <v>0.273288995027542</v>
      </c>
      <c r="C33" s="355">
        <v>0.40336400270461997</v>
      </c>
      <c r="D33" s="355">
        <v>0.58252400159835804</v>
      </c>
      <c r="E33" s="355">
        <v>0.68972003459930398</v>
      </c>
      <c r="F33" s="356">
        <v>0.84179353713989302</v>
      </c>
      <c r="G33" s="298">
        <v>0.88597599999999999</v>
      </c>
      <c r="H33" s="298">
        <v>0.84365599999999996</v>
      </c>
      <c r="I33" s="298">
        <v>0.83595299999999995</v>
      </c>
      <c r="J33" s="298">
        <v>0.86998399999999998</v>
      </c>
      <c r="K33" s="298">
        <v>0.82013999999999998</v>
      </c>
      <c r="L33" s="298">
        <v>0.82233599999999996</v>
      </c>
      <c r="M33" s="298">
        <v>0.83316999999999997</v>
      </c>
      <c r="N33" s="298">
        <v>0.834866</v>
      </c>
      <c r="O33" s="298">
        <v>0.83494199999999996</v>
      </c>
      <c r="P33" s="298">
        <v>0.84040599999999999</v>
      </c>
      <c r="Q33" s="298">
        <v>0.83868500000000001</v>
      </c>
      <c r="R33" s="298">
        <v>0.84875</v>
      </c>
      <c r="S33" s="298">
        <v>0.85439200000000004</v>
      </c>
      <c r="T33" s="298">
        <v>0.85437700000000005</v>
      </c>
      <c r="U33" s="298">
        <v>0.85438800000000004</v>
      </c>
      <c r="V33" s="298">
        <v>0.85439200000000004</v>
      </c>
      <c r="W33" s="298">
        <v>0.85523000000000005</v>
      </c>
      <c r="X33" s="298">
        <v>0.85584700000000002</v>
      </c>
      <c r="Y33" s="298">
        <v>0.85583500000000001</v>
      </c>
      <c r="Z33" s="298">
        <v>0.85584700000000002</v>
      </c>
      <c r="AA33" s="298">
        <v>0.85584700000000002</v>
      </c>
      <c r="AB33" s="298">
        <v>0.85583500000000001</v>
      </c>
      <c r="AC33" s="298">
        <v>0.85583500000000001</v>
      </c>
      <c r="AD33" s="298">
        <v>0.85583500000000001</v>
      </c>
      <c r="AE33" s="298">
        <v>0.85358400000000001</v>
      </c>
      <c r="AF33" s="298">
        <v>0.84983299999999995</v>
      </c>
      <c r="AG33" s="298">
        <v>0.84757499999999997</v>
      </c>
      <c r="AH33" s="298">
        <v>0.84855400000000003</v>
      </c>
      <c r="AI33" s="298">
        <v>0.85902400000000001</v>
      </c>
      <c r="AJ33" s="298">
        <v>0.86278500000000002</v>
      </c>
      <c r="AK33" s="299">
        <v>1E-3</v>
      </c>
      <c r="AL33" s="51" t="s">
        <v>0</v>
      </c>
    </row>
    <row r="34" spans="1:38">
      <c r="A34" s="6" t="s">
        <v>164</v>
      </c>
      <c r="B34" s="353">
        <v>4.5710995793342597E-2</v>
      </c>
      <c r="C34" s="353">
        <v>2.1635998040437698E-2</v>
      </c>
      <c r="D34" s="353">
        <v>2.0475998520851101E-2</v>
      </c>
      <c r="E34" s="353">
        <v>-4.7199996188283001E-3</v>
      </c>
      <c r="F34" s="354">
        <v>-3.1897879671305402E-4</v>
      </c>
      <c r="G34" s="298">
        <v>-6.6753999999999994E-2</v>
      </c>
      <c r="H34" s="298">
        <v>-1.6397999999999999E-2</v>
      </c>
      <c r="I34" s="298">
        <v>-1.0766E-2</v>
      </c>
      <c r="J34" s="298">
        <v>-1.9942000000000001E-2</v>
      </c>
      <c r="K34" s="298">
        <v>4.5142000000000002E-2</v>
      </c>
      <c r="L34" s="298">
        <v>4.6915999999999999E-2</v>
      </c>
      <c r="M34" s="298">
        <v>4.8281999999999999E-2</v>
      </c>
      <c r="N34" s="298">
        <v>5.0996E-2</v>
      </c>
      <c r="O34" s="298">
        <v>5.3957999999999999E-2</v>
      </c>
      <c r="P34" s="298">
        <v>5.5452000000000001E-2</v>
      </c>
      <c r="Q34" s="298">
        <v>6.1186999999999998E-2</v>
      </c>
      <c r="R34" s="298">
        <v>6.6758999999999999E-2</v>
      </c>
      <c r="S34" s="298">
        <v>6.0532000000000002E-2</v>
      </c>
      <c r="T34" s="298">
        <v>6.1176000000000001E-2</v>
      </c>
      <c r="U34" s="298">
        <v>6.0847999999999999E-2</v>
      </c>
      <c r="V34" s="298">
        <v>6.0696E-2</v>
      </c>
      <c r="W34" s="298">
        <v>5.9957000000000003E-2</v>
      </c>
      <c r="X34" s="298">
        <v>5.9486999999999998E-2</v>
      </c>
      <c r="Y34" s="298">
        <v>5.8924999999999998E-2</v>
      </c>
      <c r="Z34" s="298">
        <v>5.8984000000000002E-2</v>
      </c>
      <c r="AA34" s="298">
        <v>5.8788E-2</v>
      </c>
      <c r="AB34" s="298">
        <v>5.806E-2</v>
      </c>
      <c r="AC34" s="298">
        <v>5.8056000000000003E-2</v>
      </c>
      <c r="AD34" s="298">
        <v>5.9012000000000002E-2</v>
      </c>
      <c r="AE34" s="298">
        <v>6.0673999999999999E-2</v>
      </c>
      <c r="AF34" s="298">
        <v>6.2348000000000001E-2</v>
      </c>
      <c r="AG34" s="298">
        <v>6.4079999999999998E-2</v>
      </c>
      <c r="AH34" s="298">
        <v>6.59E-2</v>
      </c>
      <c r="AI34" s="298">
        <v>6.9848999999999994E-2</v>
      </c>
      <c r="AJ34" s="298">
        <v>8.3220000000000002E-2</v>
      </c>
      <c r="AK34" s="298" t="s">
        <v>41</v>
      </c>
    </row>
    <row r="35" spans="1:38" s="18" customFormat="1">
      <c r="A35" s="17" t="s">
        <v>166</v>
      </c>
      <c r="B35" s="355">
        <v>1.6338998451829002E-2</v>
      </c>
      <c r="C35" s="355">
        <v>3.2029997557401699E-2</v>
      </c>
      <c r="D35" s="355">
        <v>5.1199223846197101E-2</v>
      </c>
      <c r="E35" s="355">
        <v>6.0358572751283597E-2</v>
      </c>
      <c r="F35" s="356">
        <v>6.3932694494724301E-2</v>
      </c>
      <c r="G35" s="298">
        <v>5.6239999999999998E-2</v>
      </c>
      <c r="H35" s="298">
        <v>5.9032000000000001E-2</v>
      </c>
      <c r="I35" s="298">
        <v>8.6099999999999996E-2</v>
      </c>
      <c r="J35" s="298">
        <v>9.0199000000000001E-2</v>
      </c>
      <c r="K35" s="298">
        <v>9.0070999999999998E-2</v>
      </c>
      <c r="L35" s="298">
        <v>8.6830000000000004E-2</v>
      </c>
      <c r="M35" s="298">
        <v>8.6858000000000005E-2</v>
      </c>
      <c r="N35" s="298">
        <v>8.5750999999999994E-2</v>
      </c>
      <c r="O35" s="298">
        <v>8.7317000000000006E-2</v>
      </c>
      <c r="P35" s="298">
        <v>8.8449E-2</v>
      </c>
      <c r="Q35" s="298">
        <v>8.8486999999999996E-2</v>
      </c>
      <c r="R35" s="298">
        <v>8.8999999999999996E-2</v>
      </c>
      <c r="S35" s="298">
        <v>8.8025000000000006E-2</v>
      </c>
      <c r="T35" s="298">
        <v>8.9304999999999995E-2</v>
      </c>
      <c r="U35" s="298">
        <v>8.7721999999999994E-2</v>
      </c>
      <c r="V35" s="298">
        <v>8.7541999999999995E-2</v>
      </c>
      <c r="W35" s="298">
        <v>8.7525000000000006E-2</v>
      </c>
      <c r="X35" s="298">
        <v>8.7489999999999998E-2</v>
      </c>
      <c r="Y35" s="298">
        <v>8.7501999999999996E-2</v>
      </c>
      <c r="Z35" s="298">
        <v>8.788E-2</v>
      </c>
      <c r="AA35" s="298">
        <v>8.9262999999999995E-2</v>
      </c>
      <c r="AB35" s="298">
        <v>8.9245000000000005E-2</v>
      </c>
      <c r="AC35" s="298">
        <v>8.9370000000000005E-2</v>
      </c>
      <c r="AD35" s="298">
        <v>8.9401999999999995E-2</v>
      </c>
      <c r="AE35" s="298">
        <v>8.9397000000000004E-2</v>
      </c>
      <c r="AF35" s="298">
        <v>8.9370000000000005E-2</v>
      </c>
      <c r="AG35" s="298">
        <v>8.9115E-2</v>
      </c>
      <c r="AH35" s="298">
        <v>8.9362999999999998E-2</v>
      </c>
      <c r="AI35" s="298">
        <v>8.9108000000000007E-2</v>
      </c>
      <c r="AJ35" s="298">
        <v>8.9448E-2</v>
      </c>
      <c r="AK35" s="298" t="s">
        <v>41</v>
      </c>
    </row>
    <row r="36" spans="1:38" s="18" customFormat="1">
      <c r="A36" s="17" t="s">
        <v>165</v>
      </c>
      <c r="B36" s="355">
        <v>1.6338998451829002E-2</v>
      </c>
      <c r="C36" s="355">
        <v>3.2029997557401699E-2</v>
      </c>
      <c r="D36" s="355">
        <v>5.1199223846197101E-2</v>
      </c>
      <c r="E36" s="355">
        <v>6.0358572751283597E-2</v>
      </c>
      <c r="F36" s="356">
        <v>6.3932694494724301E-2</v>
      </c>
      <c r="G36" s="298">
        <v>6.3100000000000003E-2</v>
      </c>
      <c r="H36" s="298">
        <v>6.3100000000000003E-2</v>
      </c>
      <c r="I36" s="298">
        <v>8.1100000000000005E-2</v>
      </c>
      <c r="J36" s="298">
        <v>8.7099999999999997E-2</v>
      </c>
      <c r="K36" s="298">
        <v>7.9580999999999999E-2</v>
      </c>
      <c r="L36" s="298">
        <v>7.6044E-2</v>
      </c>
      <c r="M36" s="298">
        <v>7.5939000000000006E-2</v>
      </c>
      <c r="N36" s="298">
        <v>7.4647000000000005E-2</v>
      </c>
      <c r="O36" s="298">
        <v>7.6071E-2</v>
      </c>
      <c r="P36" s="298">
        <v>7.6998999999999998E-2</v>
      </c>
      <c r="Q36" s="298">
        <v>7.6729000000000006E-2</v>
      </c>
      <c r="R36" s="298">
        <v>7.7030000000000001E-2</v>
      </c>
      <c r="S36" s="298">
        <v>7.5851000000000002E-2</v>
      </c>
      <c r="T36" s="298">
        <v>7.7146000000000006E-2</v>
      </c>
      <c r="U36" s="298">
        <v>7.5544E-2</v>
      </c>
      <c r="V36" s="298">
        <v>7.5385999999999995E-2</v>
      </c>
      <c r="W36" s="298">
        <v>7.5385999999999995E-2</v>
      </c>
      <c r="X36" s="298">
        <v>7.5385999999999995E-2</v>
      </c>
      <c r="Y36" s="298">
        <v>7.5385999999999995E-2</v>
      </c>
      <c r="Z36" s="298">
        <v>7.5749999999999998E-2</v>
      </c>
      <c r="AA36" s="298">
        <v>7.7146000000000006E-2</v>
      </c>
      <c r="AB36" s="298">
        <v>7.7146000000000006E-2</v>
      </c>
      <c r="AC36" s="298">
        <v>7.7260999999999996E-2</v>
      </c>
      <c r="AD36" s="298">
        <v>7.7260999999999996E-2</v>
      </c>
      <c r="AE36" s="298">
        <v>7.7260999999999996E-2</v>
      </c>
      <c r="AF36" s="298">
        <v>7.7260999999999996E-2</v>
      </c>
      <c r="AG36" s="298">
        <v>7.7010999999999996E-2</v>
      </c>
      <c r="AH36" s="298">
        <v>7.7260999999999996E-2</v>
      </c>
      <c r="AI36" s="298">
        <v>7.7010999999999996E-2</v>
      </c>
      <c r="AJ36" s="298">
        <v>7.7376E-2</v>
      </c>
      <c r="AK36" s="299">
        <v>7.0000000000000001E-3</v>
      </c>
    </row>
    <row r="37" spans="1:38">
      <c r="A37" s="6" t="s">
        <v>164</v>
      </c>
      <c r="B37" s="353">
        <v>0</v>
      </c>
      <c r="C37" s="353">
        <v>0</v>
      </c>
      <c r="D37" s="353">
        <v>0</v>
      </c>
      <c r="E37" s="353">
        <v>0</v>
      </c>
      <c r="F37" s="354">
        <v>0</v>
      </c>
      <c r="G37" s="298">
        <v>-3.4629999999999999E-3</v>
      </c>
      <c r="H37" s="298">
        <v>-4.0679999999999996E-3</v>
      </c>
      <c r="I37" s="298">
        <v>5.0000000000000001E-3</v>
      </c>
      <c r="J37" s="298">
        <v>3.0990000000000002E-3</v>
      </c>
      <c r="K37" s="298">
        <v>1.0489999999999999E-2</v>
      </c>
      <c r="L37" s="298">
        <v>1.0786E-2</v>
      </c>
      <c r="M37" s="298">
        <v>1.0919E-2</v>
      </c>
      <c r="N37" s="298">
        <v>1.1103999999999999E-2</v>
      </c>
      <c r="O37" s="298">
        <v>1.1247E-2</v>
      </c>
      <c r="P37" s="298">
        <v>1.145E-2</v>
      </c>
      <c r="Q37" s="298">
        <v>1.1757999999999999E-2</v>
      </c>
      <c r="R37" s="298">
        <v>1.197E-2</v>
      </c>
      <c r="S37" s="298">
        <v>1.2174000000000001E-2</v>
      </c>
      <c r="T37" s="298">
        <v>1.2159E-2</v>
      </c>
      <c r="U37" s="298">
        <v>1.2178E-2</v>
      </c>
      <c r="V37" s="298">
        <v>1.2154999999999999E-2</v>
      </c>
      <c r="W37" s="298">
        <v>1.2139E-2</v>
      </c>
      <c r="X37" s="298">
        <v>1.2104E-2</v>
      </c>
      <c r="Y37" s="298">
        <v>1.2116E-2</v>
      </c>
      <c r="Z37" s="298">
        <v>1.2130999999999999E-2</v>
      </c>
      <c r="AA37" s="298">
        <v>1.2118E-2</v>
      </c>
      <c r="AB37" s="298">
        <v>1.21E-2</v>
      </c>
      <c r="AC37" s="298">
        <v>1.2109999999999999E-2</v>
      </c>
      <c r="AD37" s="298">
        <v>1.2141000000000001E-2</v>
      </c>
      <c r="AE37" s="298">
        <v>1.2137E-2</v>
      </c>
      <c r="AF37" s="298">
        <v>1.2109E-2</v>
      </c>
      <c r="AG37" s="298">
        <v>1.2102999999999999E-2</v>
      </c>
      <c r="AH37" s="298">
        <v>1.2102E-2</v>
      </c>
      <c r="AI37" s="298">
        <v>1.2096000000000001E-2</v>
      </c>
      <c r="AJ37" s="298">
        <v>1.2071999999999999E-2</v>
      </c>
      <c r="AK37" s="298" t="s">
        <v>41</v>
      </c>
    </row>
    <row r="38" spans="1:38">
      <c r="A38" s="6" t="s">
        <v>163</v>
      </c>
      <c r="B38" s="353">
        <v>0</v>
      </c>
      <c r="C38" s="353">
        <v>0</v>
      </c>
      <c r="D38" s="353">
        <v>0</v>
      </c>
      <c r="E38" s="353">
        <v>0</v>
      </c>
      <c r="F38" s="354">
        <v>0</v>
      </c>
      <c r="G38" s="298">
        <v>2.2160000000000002</v>
      </c>
      <c r="H38" s="298">
        <v>2.4</v>
      </c>
      <c r="I38" s="298">
        <v>2.4900000000000002</v>
      </c>
      <c r="J38" s="298">
        <v>2.5089999999999999</v>
      </c>
      <c r="K38" s="298">
        <v>2.5561180000000001</v>
      </c>
      <c r="L38" s="298">
        <v>2.6337290000000002</v>
      </c>
      <c r="M38" s="298">
        <v>2.6633930000000001</v>
      </c>
      <c r="N38" s="298">
        <v>2.6705079999999999</v>
      </c>
      <c r="O38" s="298">
        <v>2.669905</v>
      </c>
      <c r="P38" s="298">
        <v>2.6458759999999999</v>
      </c>
      <c r="Q38" s="298">
        <v>2.60798</v>
      </c>
      <c r="R38" s="298">
        <v>2.7045080000000001</v>
      </c>
      <c r="S38" s="298">
        <v>2.7930269999999999</v>
      </c>
      <c r="T38" s="298">
        <v>2.8390249999999999</v>
      </c>
      <c r="U38" s="298">
        <v>2.8728980000000002</v>
      </c>
      <c r="V38" s="298">
        <v>2.9033150000000001</v>
      </c>
      <c r="W38" s="298">
        <v>2.9228930000000002</v>
      </c>
      <c r="X38" s="298">
        <v>2.9406509999999999</v>
      </c>
      <c r="Y38" s="298">
        <v>2.9505080000000001</v>
      </c>
      <c r="Z38" s="298">
        <v>2.978853</v>
      </c>
      <c r="AA38" s="298">
        <v>3.0103460000000002</v>
      </c>
      <c r="AB38" s="298">
        <v>3.0288490000000001</v>
      </c>
      <c r="AC38" s="298">
        <v>3.0383969999999998</v>
      </c>
      <c r="AD38" s="298">
        <v>3.0546120000000001</v>
      </c>
      <c r="AE38" s="298">
        <v>3.0492400000000002</v>
      </c>
      <c r="AF38" s="298">
        <v>3.0289980000000001</v>
      </c>
      <c r="AG38" s="298">
        <v>3.058621</v>
      </c>
      <c r="AH38" s="298">
        <v>3.037477</v>
      </c>
      <c r="AI38" s="298">
        <v>3.013617</v>
      </c>
      <c r="AJ38" s="298">
        <v>2.983552</v>
      </c>
      <c r="AK38" s="299">
        <v>8.0000000000000002E-3</v>
      </c>
    </row>
    <row r="39" spans="1:38">
      <c r="A39" s="6" t="s">
        <v>162</v>
      </c>
      <c r="B39" s="353">
        <v>0</v>
      </c>
      <c r="C39" s="353">
        <v>0</v>
      </c>
      <c r="D39" s="353">
        <v>0</v>
      </c>
      <c r="E39" s="353">
        <v>0</v>
      </c>
      <c r="F39" s="354">
        <v>0</v>
      </c>
      <c r="G39" s="298">
        <v>0</v>
      </c>
      <c r="H39" s="298">
        <v>0</v>
      </c>
      <c r="I39" s="298">
        <v>0</v>
      </c>
      <c r="J39" s="298">
        <v>0</v>
      </c>
      <c r="K39" s="298">
        <v>0</v>
      </c>
      <c r="L39" s="298">
        <v>0</v>
      </c>
      <c r="M39" s="298">
        <v>0</v>
      </c>
      <c r="N39" s="298">
        <v>0</v>
      </c>
      <c r="O39" s="298">
        <v>0</v>
      </c>
      <c r="P39" s="298">
        <v>0</v>
      </c>
      <c r="Q39" s="298">
        <v>0</v>
      </c>
      <c r="R39" s="298">
        <v>0</v>
      </c>
      <c r="S39" s="298">
        <v>0</v>
      </c>
      <c r="T39" s="298">
        <v>0</v>
      </c>
      <c r="U39" s="298">
        <v>0</v>
      </c>
      <c r="V39" s="298">
        <v>0</v>
      </c>
      <c r="W39" s="298">
        <v>0</v>
      </c>
      <c r="X39" s="298">
        <v>0</v>
      </c>
      <c r="Y39" s="298">
        <v>0</v>
      </c>
      <c r="Z39" s="298">
        <v>0</v>
      </c>
      <c r="AA39" s="298">
        <v>0</v>
      </c>
      <c r="AB39" s="298">
        <v>0</v>
      </c>
      <c r="AC39" s="298">
        <v>0</v>
      </c>
      <c r="AD39" s="298">
        <v>0</v>
      </c>
      <c r="AE39" s="298">
        <v>0</v>
      </c>
      <c r="AF39" s="298">
        <v>0</v>
      </c>
      <c r="AG39" s="298">
        <v>0</v>
      </c>
      <c r="AH39" s="298">
        <v>0</v>
      </c>
      <c r="AI39" s="298">
        <v>0</v>
      </c>
      <c r="AJ39" s="298">
        <v>0</v>
      </c>
      <c r="AK39" s="298" t="s">
        <v>41</v>
      </c>
    </row>
    <row r="40" spans="1:38" s="271" customFormat="1">
      <c r="A40" s="270" t="s">
        <v>161</v>
      </c>
      <c r="B40" s="355">
        <v>0</v>
      </c>
      <c r="C40" s="355">
        <v>0</v>
      </c>
      <c r="D40" s="355">
        <v>0</v>
      </c>
      <c r="E40" s="355">
        <v>0</v>
      </c>
      <c r="F40" s="356">
        <v>0</v>
      </c>
      <c r="G40" s="306">
        <v>0</v>
      </c>
      <c r="H40" s="306">
        <v>3.4809526987373799E-3</v>
      </c>
      <c r="I40" s="306">
        <v>5.2319555543363103E-3</v>
      </c>
      <c r="J40" s="306">
        <v>7.8436248004436493E-3</v>
      </c>
      <c r="K40" s="306">
        <v>1.17142805829644E-2</v>
      </c>
      <c r="L40" s="306">
        <v>1.7396988347172699E-2</v>
      </c>
      <c r="M40" s="306">
        <v>2.5625614449381801E-2</v>
      </c>
      <c r="N40" s="306">
        <v>3.7305567413568497E-2</v>
      </c>
      <c r="O40" s="306">
        <v>5.34236840903759E-2</v>
      </c>
      <c r="P40" s="306">
        <v>7.4822284281253801E-2</v>
      </c>
      <c r="Q40" s="306">
        <v>0.10181753337383299</v>
      </c>
      <c r="R40" s="306">
        <v>0.133762747049332</v>
      </c>
      <c r="S40" s="306">
        <v>0.16882437467575101</v>
      </c>
      <c r="T40" s="306">
        <v>0.204265296459198</v>
      </c>
      <c r="U40" s="306">
        <v>0.237230360507965</v>
      </c>
      <c r="V40" s="306">
        <v>0.26560345292091397</v>
      </c>
      <c r="W40" s="306">
        <v>0.28843852877616899</v>
      </c>
      <c r="X40" s="306">
        <v>0.30584391951561002</v>
      </c>
      <c r="Y40" s="306">
        <v>0.31856861710548401</v>
      </c>
      <c r="Z40" s="306">
        <v>0.32759037613868702</v>
      </c>
      <c r="AA40" s="306"/>
      <c r="AB40" s="306"/>
      <c r="AC40" s="306"/>
      <c r="AD40" s="306"/>
      <c r="AE40" s="306"/>
      <c r="AF40" s="306"/>
      <c r="AG40" s="306"/>
      <c r="AH40" s="306"/>
      <c r="AI40" s="306"/>
      <c r="AJ40" s="306"/>
      <c r="AK40" s="307" t="s">
        <v>41</v>
      </c>
    </row>
    <row r="41" spans="1:38">
      <c r="A41" s="6" t="s">
        <v>692</v>
      </c>
      <c r="B41" s="353">
        <v>7.3012053966522203E-2</v>
      </c>
      <c r="C41" s="353">
        <v>0.28600034117698703</v>
      </c>
      <c r="D41" s="353">
        <v>0.24600045382976499</v>
      </c>
      <c r="E41" s="353">
        <v>0.16400466859340701</v>
      </c>
      <c r="F41" s="354">
        <v>0.31155380606651301</v>
      </c>
      <c r="G41" s="298">
        <v>0.182</v>
      </c>
      <c r="H41" s="298">
        <v>0.191</v>
      </c>
      <c r="I41" s="298">
        <v>0.193</v>
      </c>
      <c r="J41" s="298">
        <v>0.193</v>
      </c>
      <c r="K41" s="298">
        <v>0.28578500000000001</v>
      </c>
      <c r="L41" s="298">
        <v>0.28816599999999998</v>
      </c>
      <c r="M41" s="298">
        <v>0.290412</v>
      </c>
      <c r="N41" s="298">
        <v>0.29299799999999998</v>
      </c>
      <c r="O41" s="298">
        <v>0.293852</v>
      </c>
      <c r="P41" s="298">
        <v>0.29503000000000001</v>
      </c>
      <c r="Q41" s="298">
        <v>0.298292</v>
      </c>
      <c r="R41" s="298">
        <v>0.29944399999999999</v>
      </c>
      <c r="S41" s="298">
        <v>0.29972700000000002</v>
      </c>
      <c r="T41" s="298">
        <v>0.301095</v>
      </c>
      <c r="U41" s="298">
        <v>0.30102299999999999</v>
      </c>
      <c r="V41" s="298">
        <v>0.30064000000000002</v>
      </c>
      <c r="W41" s="298">
        <v>0.30251600000000001</v>
      </c>
      <c r="X41" s="298">
        <v>0.30219699999999999</v>
      </c>
      <c r="Y41" s="298">
        <v>0.30013899999999999</v>
      </c>
      <c r="Z41" s="298">
        <v>0.30297200000000002</v>
      </c>
      <c r="AA41" s="298">
        <v>0.30451</v>
      </c>
      <c r="AB41" s="298">
        <v>0.306419</v>
      </c>
      <c r="AC41" s="298">
        <v>0.30664000000000002</v>
      </c>
      <c r="AD41" s="298">
        <v>0.30698399999999998</v>
      </c>
      <c r="AE41" s="298">
        <v>0.308342</v>
      </c>
      <c r="AF41" s="298">
        <v>0.30915900000000002</v>
      </c>
      <c r="AG41" s="298">
        <v>0.30972699999999997</v>
      </c>
      <c r="AH41" s="298">
        <v>0.31073899999999999</v>
      </c>
      <c r="AI41" s="298">
        <v>0.31163999999999997</v>
      </c>
      <c r="AJ41" s="298">
        <v>0.31290899999999999</v>
      </c>
      <c r="AK41" s="299">
        <v>1.7999999999999999E-2</v>
      </c>
    </row>
    <row r="42" spans="1:38">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row>
    <row r="43" spans="1:38" s="18" customFormat="1">
      <c r="A43" s="17" t="s">
        <v>693</v>
      </c>
      <c r="B43" s="355">
        <v>20.697353363037099</v>
      </c>
      <c r="C43" s="355">
        <v>20.768030166626001</v>
      </c>
      <c r="D43" s="355">
        <v>19.647199630737301</v>
      </c>
      <c r="E43" s="355">
        <v>19.421310424804702</v>
      </c>
      <c r="F43" s="356">
        <v>19.587932586669901</v>
      </c>
      <c r="G43" s="249">
        <v>18.938583000000001</v>
      </c>
      <c r="H43" s="249">
        <v>18.592289000000001</v>
      </c>
      <c r="I43" s="249">
        <v>18.985319</v>
      </c>
      <c r="J43" s="249">
        <v>18.815241</v>
      </c>
      <c r="K43" s="249">
        <v>19.157446</v>
      </c>
      <c r="L43" s="249">
        <v>19.35895</v>
      </c>
      <c r="M43" s="249">
        <v>19.477530000000002</v>
      </c>
      <c r="N43" s="249">
        <v>19.527609000000002</v>
      </c>
      <c r="O43" s="249">
        <v>19.535461000000002</v>
      </c>
      <c r="P43" s="249">
        <v>19.520367</v>
      </c>
      <c r="Q43" s="249">
        <v>19.477088999999999</v>
      </c>
      <c r="R43" s="249">
        <v>19.437809000000001</v>
      </c>
      <c r="S43" s="249">
        <v>19.388767000000001</v>
      </c>
      <c r="T43" s="249">
        <v>19.330017000000002</v>
      </c>
      <c r="U43" s="249">
        <v>19.262318</v>
      </c>
      <c r="V43" s="249">
        <v>19.178843000000001</v>
      </c>
      <c r="W43" s="249">
        <v>19.119274000000001</v>
      </c>
      <c r="X43" s="249">
        <v>19.059887</v>
      </c>
      <c r="Y43" s="249">
        <v>18.980637000000002</v>
      </c>
      <c r="Z43" s="249">
        <v>18.926172000000001</v>
      </c>
      <c r="AA43" s="249">
        <v>18.880776999999998</v>
      </c>
      <c r="AB43" s="249">
        <v>18.838093000000001</v>
      </c>
      <c r="AC43" s="249">
        <v>18.795445999999998</v>
      </c>
      <c r="AD43" s="249">
        <v>18.768318000000001</v>
      </c>
      <c r="AE43" s="249">
        <v>18.751888000000001</v>
      </c>
      <c r="AF43" s="249">
        <v>18.731911</v>
      </c>
      <c r="AG43" s="249">
        <v>18.743359000000002</v>
      </c>
      <c r="AH43" s="249">
        <v>18.755479999999999</v>
      </c>
      <c r="AI43" s="249">
        <v>18.748524</v>
      </c>
      <c r="AJ43" s="249">
        <v>18.724962000000001</v>
      </c>
      <c r="AK43" s="250">
        <v>0</v>
      </c>
    </row>
    <row r="44" spans="1:38" s="260" customFormat="1">
      <c r="A44" s="259" t="s">
        <v>196</v>
      </c>
      <c r="B44" s="357">
        <f t="shared" ref="B44:H44" si="0">B43*365</f>
        <v>7554.5339775085413</v>
      </c>
      <c r="C44" s="357">
        <f t="shared" si="0"/>
        <v>7580.3310108184905</v>
      </c>
      <c r="D44" s="357">
        <f t="shared" si="0"/>
        <v>7171.2278652191153</v>
      </c>
      <c r="E44" s="357">
        <f t="shared" si="0"/>
        <v>7088.7783050537164</v>
      </c>
      <c r="F44" s="358">
        <f t="shared" si="0"/>
        <v>7149.5953941345133</v>
      </c>
      <c r="G44" s="308">
        <f t="shared" si="0"/>
        <v>6912.5827950000003</v>
      </c>
      <c r="H44" s="308">
        <f t="shared" si="0"/>
        <v>6786.185485</v>
      </c>
      <c r="I44" s="308">
        <f t="shared" ref="I44:AJ44" si="1">I43*365</f>
        <v>6929.6414350000005</v>
      </c>
      <c r="J44" s="308">
        <f t="shared" si="1"/>
        <v>6867.5629650000001</v>
      </c>
      <c r="K44" s="308">
        <f t="shared" si="1"/>
        <v>6992.4677899999997</v>
      </c>
      <c r="L44" s="308">
        <f t="shared" si="1"/>
        <v>7066.0167499999998</v>
      </c>
      <c r="M44" s="308">
        <f t="shared" si="1"/>
        <v>7109.2984500000002</v>
      </c>
      <c r="N44" s="308">
        <f t="shared" si="1"/>
        <v>7127.5772850000003</v>
      </c>
      <c r="O44" s="308">
        <f t="shared" si="1"/>
        <v>7130.4432650000008</v>
      </c>
      <c r="P44" s="308">
        <f t="shared" si="1"/>
        <v>7124.9339550000004</v>
      </c>
      <c r="Q44" s="308">
        <f t="shared" si="1"/>
        <v>7109.1374850000002</v>
      </c>
      <c r="R44" s="308">
        <f t="shared" si="1"/>
        <v>7094.8002850000003</v>
      </c>
      <c r="S44" s="308">
        <f t="shared" si="1"/>
        <v>7076.8999550000008</v>
      </c>
      <c r="T44" s="308">
        <f t="shared" si="1"/>
        <v>7055.4562050000004</v>
      </c>
      <c r="U44" s="308">
        <f t="shared" si="1"/>
        <v>7030.7460700000001</v>
      </c>
      <c r="V44" s="308">
        <f t="shared" si="1"/>
        <v>7000.2776949999998</v>
      </c>
      <c r="W44" s="308">
        <f t="shared" si="1"/>
        <v>6978.5350100000005</v>
      </c>
      <c r="X44" s="308">
        <f t="shared" si="1"/>
        <v>6956.8587550000002</v>
      </c>
      <c r="Y44" s="308">
        <f t="shared" si="1"/>
        <v>6927.9325050000007</v>
      </c>
      <c r="Z44" s="308">
        <f t="shared" si="1"/>
        <v>6908.05278</v>
      </c>
      <c r="AA44" s="308">
        <f t="shared" si="1"/>
        <v>6891.4836049999994</v>
      </c>
      <c r="AB44" s="308">
        <f t="shared" si="1"/>
        <v>6875.903945</v>
      </c>
      <c r="AC44" s="308">
        <f t="shared" si="1"/>
        <v>6860.3377899999996</v>
      </c>
      <c r="AD44" s="308">
        <f t="shared" si="1"/>
        <v>6850.4360700000007</v>
      </c>
      <c r="AE44" s="308">
        <f t="shared" si="1"/>
        <v>6844.43912</v>
      </c>
      <c r="AF44" s="308">
        <f t="shared" si="1"/>
        <v>6837.1475149999997</v>
      </c>
      <c r="AG44" s="308">
        <f t="shared" si="1"/>
        <v>6841.326035000001</v>
      </c>
      <c r="AH44" s="308">
        <f t="shared" si="1"/>
        <v>6845.7501999999995</v>
      </c>
      <c r="AI44" s="308">
        <f t="shared" si="1"/>
        <v>6843.21126</v>
      </c>
      <c r="AJ44" s="308">
        <f t="shared" si="1"/>
        <v>6834.6111300000002</v>
      </c>
      <c r="AK44" s="309"/>
    </row>
    <row r="45" spans="1:38" s="264" customFormat="1">
      <c r="A45" s="263" t="s">
        <v>187</v>
      </c>
      <c r="B45" s="359">
        <f>SUM(B33,B36,B40)</f>
        <v>0.28962799347937102</v>
      </c>
      <c r="C45" s="359">
        <f t="shared" ref="C45:AJ45" si="2">SUM(C33,C36,C40)</f>
        <v>0.43539400026202169</v>
      </c>
      <c r="D45" s="359">
        <f t="shared" si="2"/>
        <v>0.63372322544455517</v>
      </c>
      <c r="E45" s="359">
        <f t="shared" si="2"/>
        <v>0.75007860735058762</v>
      </c>
      <c r="F45" s="360">
        <f t="shared" si="2"/>
        <v>0.9057262316346173</v>
      </c>
      <c r="G45" s="310">
        <f t="shared" si="2"/>
        <v>0.94907600000000003</v>
      </c>
      <c r="H45" s="310">
        <f t="shared" si="2"/>
        <v>0.91023695269873739</v>
      </c>
      <c r="I45" s="310">
        <f t="shared" si="2"/>
        <v>0.92228495555433621</v>
      </c>
      <c r="J45" s="310">
        <f t="shared" si="2"/>
        <v>0.96492762480044358</v>
      </c>
      <c r="K45" s="310">
        <f t="shared" si="2"/>
        <v>0.91143528058296441</v>
      </c>
      <c r="L45" s="310">
        <f t="shared" si="2"/>
        <v>0.91577698834717269</v>
      </c>
      <c r="M45" s="310">
        <f t="shared" si="2"/>
        <v>0.93473461444938177</v>
      </c>
      <c r="N45" s="310">
        <f t="shared" si="2"/>
        <v>0.94681856741356851</v>
      </c>
      <c r="O45" s="310">
        <f t="shared" si="2"/>
        <v>0.96443668409037586</v>
      </c>
      <c r="P45" s="310">
        <f t="shared" si="2"/>
        <v>0.99222728428125384</v>
      </c>
      <c r="Q45" s="310">
        <f t="shared" si="2"/>
        <v>1.0172315333738331</v>
      </c>
      <c r="R45" s="310">
        <f t="shared" si="2"/>
        <v>1.0595427470493322</v>
      </c>
      <c r="S45" s="310">
        <f t="shared" si="2"/>
        <v>1.0990673746757511</v>
      </c>
      <c r="T45" s="310">
        <f t="shared" si="2"/>
        <v>1.1357882964591981</v>
      </c>
      <c r="U45" s="310">
        <f t="shared" si="2"/>
        <v>1.1671623605079651</v>
      </c>
      <c r="V45" s="310">
        <f t="shared" si="2"/>
        <v>1.1953814529209139</v>
      </c>
      <c r="W45" s="310">
        <f t="shared" si="2"/>
        <v>1.2190545287761689</v>
      </c>
      <c r="X45" s="310">
        <f t="shared" si="2"/>
        <v>1.2370769195156099</v>
      </c>
      <c r="Y45" s="310">
        <f t="shared" si="2"/>
        <v>1.2497896171054839</v>
      </c>
      <c r="Z45" s="310">
        <f t="shared" si="2"/>
        <v>1.2591873761386871</v>
      </c>
      <c r="AA45" s="310">
        <f t="shared" si="2"/>
        <v>0.93299300000000007</v>
      </c>
      <c r="AB45" s="310">
        <f t="shared" si="2"/>
        <v>0.93298100000000006</v>
      </c>
      <c r="AC45" s="310">
        <f t="shared" si="2"/>
        <v>0.93309600000000004</v>
      </c>
      <c r="AD45" s="310">
        <f t="shared" si="2"/>
        <v>0.93309600000000004</v>
      </c>
      <c r="AE45" s="310">
        <f t="shared" si="2"/>
        <v>0.93084500000000003</v>
      </c>
      <c r="AF45" s="310">
        <f t="shared" si="2"/>
        <v>0.92709399999999997</v>
      </c>
      <c r="AG45" s="310">
        <f t="shared" si="2"/>
        <v>0.92458599999999991</v>
      </c>
      <c r="AH45" s="310">
        <f t="shared" si="2"/>
        <v>0.92581500000000005</v>
      </c>
      <c r="AI45" s="310">
        <f t="shared" si="2"/>
        <v>0.93603499999999995</v>
      </c>
      <c r="AJ45" s="310">
        <f t="shared" si="2"/>
        <v>0.94016100000000002</v>
      </c>
      <c r="AK45" s="311"/>
    </row>
    <row r="46" spans="1:38" s="260" customFormat="1">
      <c r="A46" s="265" t="s">
        <v>193</v>
      </c>
      <c r="B46" s="355">
        <f>B45*365</f>
        <v>105.71421761997043</v>
      </c>
      <c r="C46" s="355">
        <f t="shared" ref="C46:AJ46" si="3">C45*365</f>
        <v>158.91881009563792</v>
      </c>
      <c r="D46" s="355">
        <f t="shared" si="3"/>
        <v>231.30897728726265</v>
      </c>
      <c r="E46" s="355">
        <f t="shared" si="3"/>
        <v>273.77869168296451</v>
      </c>
      <c r="F46" s="356">
        <f t="shared" si="3"/>
        <v>330.59007454663532</v>
      </c>
      <c r="G46" s="312">
        <f t="shared" si="3"/>
        <v>346.41273999999999</v>
      </c>
      <c r="H46" s="312">
        <f t="shared" si="3"/>
        <v>332.23648773503913</v>
      </c>
      <c r="I46" s="312">
        <f t="shared" si="3"/>
        <v>336.63400877733272</v>
      </c>
      <c r="J46" s="312">
        <f t="shared" si="3"/>
        <v>352.19858305216189</v>
      </c>
      <c r="K46" s="312">
        <f t="shared" si="3"/>
        <v>332.67387741278202</v>
      </c>
      <c r="L46" s="312">
        <f t="shared" si="3"/>
        <v>334.25860074671806</v>
      </c>
      <c r="M46" s="312">
        <f t="shared" si="3"/>
        <v>341.17813427402433</v>
      </c>
      <c r="N46" s="312">
        <f t="shared" si="3"/>
        <v>345.58877710595249</v>
      </c>
      <c r="O46" s="312">
        <f t="shared" si="3"/>
        <v>352.0193896929872</v>
      </c>
      <c r="P46" s="312">
        <f t="shared" si="3"/>
        <v>362.16295876265764</v>
      </c>
      <c r="Q46" s="312">
        <f t="shared" si="3"/>
        <v>371.28950968144909</v>
      </c>
      <c r="R46" s="312">
        <f t="shared" si="3"/>
        <v>386.73310267300621</v>
      </c>
      <c r="S46" s="312">
        <f t="shared" si="3"/>
        <v>401.15959175664915</v>
      </c>
      <c r="T46" s="312">
        <f t="shared" si="3"/>
        <v>414.56272820760728</v>
      </c>
      <c r="U46" s="312">
        <f t="shared" si="3"/>
        <v>426.01426158540727</v>
      </c>
      <c r="V46" s="312">
        <f t="shared" si="3"/>
        <v>436.3142303161336</v>
      </c>
      <c r="W46" s="312">
        <f t="shared" si="3"/>
        <v>444.95490300330164</v>
      </c>
      <c r="X46" s="312">
        <f t="shared" si="3"/>
        <v>451.53307562319765</v>
      </c>
      <c r="Y46" s="312">
        <f t="shared" si="3"/>
        <v>456.17321024350161</v>
      </c>
      <c r="Z46" s="312">
        <f t="shared" si="3"/>
        <v>459.60339229062083</v>
      </c>
      <c r="AA46" s="312">
        <f t="shared" si="3"/>
        <v>340.54244500000004</v>
      </c>
      <c r="AB46" s="312">
        <f t="shared" si="3"/>
        <v>340.53806500000002</v>
      </c>
      <c r="AC46" s="312">
        <f t="shared" si="3"/>
        <v>340.58004</v>
      </c>
      <c r="AD46" s="312">
        <f t="shared" si="3"/>
        <v>340.58004</v>
      </c>
      <c r="AE46" s="312">
        <f t="shared" si="3"/>
        <v>339.75842499999999</v>
      </c>
      <c r="AF46" s="312">
        <f t="shared" si="3"/>
        <v>338.38930999999997</v>
      </c>
      <c r="AG46" s="312">
        <f t="shared" si="3"/>
        <v>337.47388999999998</v>
      </c>
      <c r="AH46" s="312">
        <f t="shared" si="3"/>
        <v>337.92247500000002</v>
      </c>
      <c r="AI46" s="312">
        <f t="shared" si="3"/>
        <v>341.65277499999996</v>
      </c>
      <c r="AJ46" s="312">
        <f t="shared" si="3"/>
        <v>343.15876500000002</v>
      </c>
      <c r="AK46" s="309"/>
    </row>
    <row r="47" spans="1:38" s="260" customFormat="1">
      <c r="A47" s="265" t="s">
        <v>192</v>
      </c>
      <c r="B47" s="355"/>
      <c r="C47" s="361">
        <f>C46/B46-1</f>
        <v>0.50328700976562524</v>
      </c>
      <c r="D47" s="361">
        <f t="shared" ref="D47:Z47" si="4">D46/C46-1</f>
        <v>0.45551667010381003</v>
      </c>
      <c r="E47" s="361">
        <f t="shared" si="4"/>
        <v>0.1836059927019551</v>
      </c>
      <c r="F47" s="362">
        <f t="shared" si="4"/>
        <v>0.20750841679621423</v>
      </c>
      <c r="G47" s="313"/>
      <c r="H47" s="313">
        <f t="shared" si="4"/>
        <v>-4.0923010698050155E-2</v>
      </c>
      <c r="I47" s="313">
        <f t="shared" si="4"/>
        <v>1.32361170570785E-2</v>
      </c>
      <c r="J47" s="313">
        <f t="shared" si="4"/>
        <v>4.6235893786727766E-2</v>
      </c>
      <c r="K47" s="313">
        <f t="shared" si="4"/>
        <v>-5.5436638813757488E-2</v>
      </c>
      <c r="L47" s="313">
        <f t="shared" si="4"/>
        <v>4.7635941428900708E-3</v>
      </c>
      <c r="M47" s="313">
        <f t="shared" si="4"/>
        <v>2.0701138315807999E-2</v>
      </c>
      <c r="N47" s="313">
        <f t="shared" si="4"/>
        <v>1.2927683191988004E-2</v>
      </c>
      <c r="O47" s="313">
        <f t="shared" si="4"/>
        <v>1.8607700866001275E-2</v>
      </c>
      <c r="P47" s="313">
        <f t="shared" si="4"/>
        <v>2.8815370308201249E-2</v>
      </c>
      <c r="Q47" s="313">
        <f t="shared" si="4"/>
        <v>2.5200122480699472E-2</v>
      </c>
      <c r="R47" s="313">
        <f t="shared" si="4"/>
        <v>4.1594477055942436E-2</v>
      </c>
      <c r="S47" s="313">
        <f t="shared" si="4"/>
        <v>3.730347618016272E-2</v>
      </c>
      <c r="T47" s="313">
        <f t="shared" si="4"/>
        <v>3.3410983375137038E-2</v>
      </c>
      <c r="U47" s="313">
        <f t="shared" si="4"/>
        <v>2.762316194538661E-2</v>
      </c>
      <c r="V47" s="313">
        <f t="shared" si="4"/>
        <v>2.4177520941188968E-2</v>
      </c>
      <c r="W47" s="313">
        <f t="shared" si="4"/>
        <v>1.9803783802575969E-2</v>
      </c>
      <c r="X47" s="313">
        <f t="shared" si="4"/>
        <v>1.4783908606232909E-2</v>
      </c>
      <c r="Y47" s="313">
        <f t="shared" si="4"/>
        <v>1.0276400270123665E-2</v>
      </c>
      <c r="Z47" s="313">
        <f t="shared" si="4"/>
        <v>7.5194728013252554E-3</v>
      </c>
      <c r="AA47" s="313">
        <f t="shared" ref="AA47:AJ47" si="5">AA46/Z46-1</f>
        <v>-0.25905149806930716</v>
      </c>
      <c r="AB47" s="313">
        <f t="shared" si="5"/>
        <v>-1.2861832832666842E-5</v>
      </c>
      <c r="AC47" s="313">
        <f t="shared" si="5"/>
        <v>1.2326081667257682E-4</v>
      </c>
      <c r="AD47" s="313">
        <f t="shared" si="5"/>
        <v>0</v>
      </c>
      <c r="AE47" s="313">
        <f t="shared" si="5"/>
        <v>-2.412399152927458E-3</v>
      </c>
      <c r="AF47" s="313">
        <f t="shared" si="5"/>
        <v>-4.0296719647202606E-3</v>
      </c>
      <c r="AG47" s="313">
        <f t="shared" si="5"/>
        <v>-2.7052273016543449E-3</v>
      </c>
      <c r="AH47" s="313">
        <f t="shared" si="5"/>
        <v>1.3292435749623355E-3</v>
      </c>
      <c r="AI47" s="313">
        <f t="shared" si="5"/>
        <v>1.1038922462910827E-2</v>
      </c>
      <c r="AJ47" s="313">
        <f t="shared" si="5"/>
        <v>4.4079548307489613E-3</v>
      </c>
      <c r="AK47" s="309"/>
    </row>
    <row r="48" spans="1:38" s="266" customFormat="1">
      <c r="A48" s="263" t="s">
        <v>195</v>
      </c>
      <c r="B48" s="363">
        <f>SUM(B33,B36,B40)/B43</f>
        <v>1.3993479668594277E-2</v>
      </c>
      <c r="C48" s="363">
        <f t="shared" ref="C48:AJ48" si="6">SUM(C33,C36,C40)/C43</f>
        <v>2.0964626725248844E-2</v>
      </c>
      <c r="D48" s="363">
        <f t="shared" si="6"/>
        <v>3.2255142582921545E-2</v>
      </c>
      <c r="E48" s="363">
        <f t="shared" si="6"/>
        <v>3.8621421054708789E-2</v>
      </c>
      <c r="F48" s="364">
        <f t="shared" si="6"/>
        <v>4.6238990645239793E-2</v>
      </c>
      <c r="G48" s="314">
        <f t="shared" si="6"/>
        <v>5.0113358533740354E-2</v>
      </c>
      <c r="H48" s="314">
        <f t="shared" si="6"/>
        <v>4.8957766991398283E-2</v>
      </c>
      <c r="I48" s="314">
        <f t="shared" si="6"/>
        <v>4.8578849560248959E-2</v>
      </c>
      <c r="J48" s="314">
        <f t="shared" si="6"/>
        <v>5.1284361693822764E-2</v>
      </c>
      <c r="K48" s="314">
        <f t="shared" si="6"/>
        <v>4.7576032869045506E-2</v>
      </c>
      <c r="L48" s="314">
        <f t="shared" si="6"/>
        <v>4.7305096007127075E-2</v>
      </c>
      <c r="M48" s="314">
        <f t="shared" si="6"/>
        <v>4.7990408149769591E-2</v>
      </c>
      <c r="N48" s="314">
        <f t="shared" si="6"/>
        <v>4.8486149400757073E-2</v>
      </c>
      <c r="O48" s="314">
        <f t="shared" si="6"/>
        <v>4.9368514215783074E-2</v>
      </c>
      <c r="P48" s="314">
        <f t="shared" si="6"/>
        <v>5.0830360119830421E-2</v>
      </c>
      <c r="Q48" s="314">
        <f t="shared" si="6"/>
        <v>5.2227082464624625E-2</v>
      </c>
      <c r="R48" s="315">
        <f t="shared" si="6"/>
        <v>5.4509371249060634E-2</v>
      </c>
      <c r="S48" s="314">
        <f t="shared" si="6"/>
        <v>5.6685779692733994E-2</v>
      </c>
      <c r="T48" s="314">
        <f t="shared" si="6"/>
        <v>5.8757749486676503E-2</v>
      </c>
      <c r="U48" s="314">
        <f t="shared" si="6"/>
        <v>6.059303768673973E-2</v>
      </c>
      <c r="V48" s="314">
        <f t="shared" si="6"/>
        <v>6.2328131729370427E-2</v>
      </c>
      <c r="W48" s="314">
        <f t="shared" si="6"/>
        <v>6.3760503080617439E-2</v>
      </c>
      <c r="X48" s="314">
        <f t="shared" si="6"/>
        <v>6.4904735244002754E-2</v>
      </c>
      <c r="Y48" s="314">
        <f t="shared" si="6"/>
        <v>6.5845504400378327E-2</v>
      </c>
      <c r="Z48" s="315">
        <f t="shared" si="6"/>
        <v>6.6531540352623181E-2</v>
      </c>
      <c r="AA48" s="315">
        <f t="shared" si="6"/>
        <v>4.9414968462367842E-2</v>
      </c>
      <c r="AB48" s="315">
        <f t="shared" si="6"/>
        <v>4.9526297592861444E-2</v>
      </c>
      <c r="AC48" s="315">
        <f t="shared" si="6"/>
        <v>4.9644791616011673E-2</v>
      </c>
      <c r="AD48" s="315">
        <f t="shared" si="6"/>
        <v>4.9716548920366761E-2</v>
      </c>
      <c r="AE48" s="315">
        <f t="shared" si="6"/>
        <v>4.9640068242728409E-2</v>
      </c>
      <c r="AF48" s="315">
        <f t="shared" si="6"/>
        <v>4.9492761309831122E-2</v>
      </c>
      <c r="AG48" s="315">
        <f t="shared" si="6"/>
        <v>4.932872490998011E-2</v>
      </c>
      <c r="AH48" s="315">
        <f t="shared" si="6"/>
        <v>4.9362373023777592E-2</v>
      </c>
      <c r="AI48" s="315">
        <f t="shared" si="6"/>
        <v>4.9925796825392763E-2</v>
      </c>
      <c r="AJ48" s="315">
        <f t="shared" si="6"/>
        <v>5.0208967046234856E-2</v>
      </c>
      <c r="AK48" s="316"/>
    </row>
    <row r="49" spans="1:37" s="266" customFormat="1">
      <c r="A49" s="266" t="s">
        <v>186</v>
      </c>
      <c r="B49" s="365">
        <f>B33*365 * 42/1000</f>
        <v>4.1895202937722189</v>
      </c>
      <c r="C49" s="365">
        <f t="shared" ref="C49:AJ49" si="7">C33*365 * 42/1000</f>
        <v>6.1835701614618239</v>
      </c>
      <c r="D49" s="365">
        <f t="shared" si="7"/>
        <v>8.9300929445028281</v>
      </c>
      <c r="E49" s="365">
        <f t="shared" si="7"/>
        <v>10.57340813040733</v>
      </c>
      <c r="F49" s="366">
        <f t="shared" si="7"/>
        <v>12.90469492435456</v>
      </c>
      <c r="G49" s="317">
        <f t="shared" si="7"/>
        <v>13.58201208</v>
      </c>
      <c r="H49" s="317">
        <f t="shared" si="7"/>
        <v>12.933246479999999</v>
      </c>
      <c r="I49" s="317">
        <f t="shared" si="7"/>
        <v>12.815159489999999</v>
      </c>
      <c r="J49" s="317">
        <f t="shared" si="7"/>
        <v>13.33685472</v>
      </c>
      <c r="K49" s="317">
        <f t="shared" si="7"/>
        <v>12.572746199999999</v>
      </c>
      <c r="L49" s="317">
        <f t="shared" si="7"/>
        <v>12.606410879999997</v>
      </c>
      <c r="M49" s="317">
        <f t="shared" si="7"/>
        <v>12.7724961</v>
      </c>
      <c r="N49" s="317">
        <f t="shared" si="7"/>
        <v>12.79849578</v>
      </c>
      <c r="O49" s="317">
        <f t="shared" si="7"/>
        <v>12.799660859999999</v>
      </c>
      <c r="P49" s="317">
        <f t="shared" si="7"/>
        <v>12.883423980000002</v>
      </c>
      <c r="Q49" s="317">
        <f t="shared" si="7"/>
        <v>12.857041049999999</v>
      </c>
      <c r="R49" s="317">
        <f t="shared" si="7"/>
        <v>13.0113375</v>
      </c>
      <c r="S49" s="317">
        <f t="shared" si="7"/>
        <v>13.097829360000002</v>
      </c>
      <c r="T49" s="317">
        <f t="shared" si="7"/>
        <v>13.097599410000003</v>
      </c>
      <c r="U49" s="317">
        <f t="shared" si="7"/>
        <v>13.09776804</v>
      </c>
      <c r="V49" s="317">
        <f t="shared" si="7"/>
        <v>13.097829360000002</v>
      </c>
      <c r="W49" s="317">
        <f t="shared" si="7"/>
        <v>13.1106759</v>
      </c>
      <c r="X49" s="317">
        <f t="shared" si="7"/>
        <v>13.120134510000002</v>
      </c>
      <c r="Y49" s="317">
        <f t="shared" si="7"/>
        <v>13.11995055</v>
      </c>
      <c r="Z49" s="317">
        <f t="shared" si="7"/>
        <v>13.120134510000002</v>
      </c>
      <c r="AA49" s="317">
        <f t="shared" si="7"/>
        <v>13.120134510000002</v>
      </c>
      <c r="AB49" s="317">
        <f t="shared" si="7"/>
        <v>13.11995055</v>
      </c>
      <c r="AC49" s="317">
        <f t="shared" si="7"/>
        <v>13.11995055</v>
      </c>
      <c r="AD49" s="317">
        <f t="shared" si="7"/>
        <v>13.11995055</v>
      </c>
      <c r="AE49" s="317">
        <f t="shared" si="7"/>
        <v>13.08544272</v>
      </c>
      <c r="AF49" s="317">
        <f t="shared" si="7"/>
        <v>13.027939889999997</v>
      </c>
      <c r="AG49" s="317">
        <f t="shared" si="7"/>
        <v>12.993324749999999</v>
      </c>
      <c r="AH49" s="317">
        <f t="shared" si="7"/>
        <v>13.008332820000001</v>
      </c>
      <c r="AI49" s="317">
        <f t="shared" si="7"/>
        <v>13.168837920000001</v>
      </c>
      <c r="AJ49" s="317">
        <f t="shared" si="7"/>
        <v>13.226494050000001</v>
      </c>
      <c r="AK49" s="318"/>
    </row>
    <row r="50" spans="1:37">
      <c r="A50" s="6" t="s">
        <v>160</v>
      </c>
      <c r="R50" s="304" t="s">
        <v>0</v>
      </c>
    </row>
    <row r="51" spans="1:37">
      <c r="A51" s="6" t="s">
        <v>159</v>
      </c>
    </row>
    <row r="52" spans="1:37">
      <c r="A52" s="6" t="s">
        <v>695</v>
      </c>
      <c r="B52" s="353">
        <v>2.0520000457763699</v>
      </c>
      <c r="C52" s="353">
        <v>2.08500003814697</v>
      </c>
      <c r="D52" s="353">
        <v>2.02300000190735</v>
      </c>
      <c r="E52" s="353">
        <v>1.9900000095367401</v>
      </c>
      <c r="F52" s="354">
        <v>1.9984494447708101</v>
      </c>
      <c r="G52" s="298">
        <v>2.3039999999999998</v>
      </c>
      <c r="H52" s="298">
        <v>2.3239999999999998</v>
      </c>
      <c r="I52" s="298">
        <v>2.407</v>
      </c>
      <c r="J52" s="298">
        <v>2.4159999999999999</v>
      </c>
      <c r="K52" s="298">
        <v>2.4498690000000001</v>
      </c>
      <c r="L52" s="298">
        <v>2.5403880000000001</v>
      </c>
      <c r="M52" s="298">
        <v>2.599494</v>
      </c>
      <c r="N52" s="298">
        <v>2.6464240000000001</v>
      </c>
      <c r="O52" s="298">
        <v>2.693587</v>
      </c>
      <c r="P52" s="298">
        <v>2.7283230000000001</v>
      </c>
      <c r="Q52" s="298">
        <v>2.742324</v>
      </c>
      <c r="R52" s="298">
        <v>2.7799209999999999</v>
      </c>
      <c r="S52" s="298">
        <v>2.8150529999999998</v>
      </c>
      <c r="T52" s="298">
        <v>2.8347359999999999</v>
      </c>
      <c r="U52" s="298">
        <v>2.8433090000000001</v>
      </c>
      <c r="V52" s="298">
        <v>2.840814</v>
      </c>
      <c r="W52" s="298">
        <v>2.844868</v>
      </c>
      <c r="X52" s="298">
        <v>2.8578079999999999</v>
      </c>
      <c r="Y52" s="298">
        <v>2.8486820000000002</v>
      </c>
      <c r="Z52" s="298">
        <v>2.8402569999999998</v>
      </c>
      <c r="AA52" s="298">
        <v>2.8361179999999999</v>
      </c>
      <c r="AB52" s="298">
        <v>2.8308490000000002</v>
      </c>
      <c r="AC52" s="298">
        <v>2.8180170000000002</v>
      </c>
      <c r="AD52" s="298">
        <v>2.7924669999999998</v>
      </c>
      <c r="AE52" s="298">
        <v>2.7826710000000001</v>
      </c>
      <c r="AF52" s="298">
        <v>2.76675</v>
      </c>
      <c r="AG52" s="298">
        <v>2.7715809999999999</v>
      </c>
      <c r="AH52" s="298">
        <v>2.7629000000000001</v>
      </c>
      <c r="AI52" s="298">
        <v>2.7495129999999999</v>
      </c>
      <c r="AJ52" s="298">
        <v>2.7286790000000001</v>
      </c>
      <c r="AK52" s="299">
        <v>6.0000000000000001E-3</v>
      </c>
    </row>
    <row r="53" spans="1:37">
      <c r="A53" s="6" t="s">
        <v>694</v>
      </c>
      <c r="B53" s="353">
        <v>8.6600880604237296E-4</v>
      </c>
      <c r="C53" s="353">
        <v>1.0510511929169299E-3</v>
      </c>
      <c r="D53" s="353">
        <v>8.0768426414579196E-4</v>
      </c>
      <c r="E53" s="353">
        <v>4.3171385186724403E-4</v>
      </c>
      <c r="F53" s="354">
        <v>1.8219171324744801E-3</v>
      </c>
      <c r="G53" s="298">
        <v>1.882E-3</v>
      </c>
      <c r="H53" s="298">
        <v>9.8740000000000008E-3</v>
      </c>
      <c r="I53" s="298">
        <v>1.3136999999999999E-2</v>
      </c>
      <c r="J53" s="298">
        <v>1.4973999999999999E-2</v>
      </c>
      <c r="K53" s="298">
        <v>1.2047E-2</v>
      </c>
      <c r="L53" s="298">
        <v>2.5141E-2</v>
      </c>
      <c r="M53" s="298">
        <v>5.3563E-2</v>
      </c>
      <c r="N53" s="298">
        <v>8.0305000000000001E-2</v>
      </c>
      <c r="O53" s="298">
        <v>0.10901</v>
      </c>
      <c r="P53" s="298">
        <v>0.13106100000000001</v>
      </c>
      <c r="Q53" s="298">
        <v>0.162138</v>
      </c>
      <c r="R53" s="298">
        <v>0.20447299999999999</v>
      </c>
      <c r="S53" s="298">
        <v>0.22256600000000001</v>
      </c>
      <c r="T53" s="298">
        <v>0.242672</v>
      </c>
      <c r="U53" s="298">
        <v>0.26248500000000002</v>
      </c>
      <c r="V53" s="298">
        <v>0.279335</v>
      </c>
      <c r="W53" s="298">
        <v>0.29406700000000002</v>
      </c>
      <c r="X53" s="298">
        <v>0.30546400000000001</v>
      </c>
      <c r="Y53" s="298">
        <v>0.31323699999999999</v>
      </c>
      <c r="Z53" s="298">
        <v>0.31872699999999998</v>
      </c>
      <c r="AA53" s="298">
        <v>0.321052</v>
      </c>
      <c r="AB53" s="298">
        <v>0.31902700000000001</v>
      </c>
      <c r="AC53" s="298">
        <v>0.31467200000000001</v>
      </c>
      <c r="AD53" s="298">
        <v>0.30996699999999999</v>
      </c>
      <c r="AE53" s="298">
        <v>0.29748400000000003</v>
      </c>
      <c r="AF53" s="298">
        <v>0.28148600000000001</v>
      </c>
      <c r="AG53" s="298">
        <v>0.26450099999999999</v>
      </c>
      <c r="AH53" s="298">
        <v>0.245667</v>
      </c>
      <c r="AI53" s="298">
        <v>0.23741399999999999</v>
      </c>
      <c r="AJ53" s="298">
        <v>0.22813</v>
      </c>
      <c r="AK53" s="299">
        <v>0.11899999999999999</v>
      </c>
    </row>
    <row r="54" spans="1:37">
      <c r="A54" s="6" t="s">
        <v>696</v>
      </c>
      <c r="B54" s="353">
        <v>9.2527751922607404</v>
      </c>
      <c r="C54" s="353">
        <v>9.2857265472412092</v>
      </c>
      <c r="D54" s="353">
        <v>9.0097904205322301</v>
      </c>
      <c r="E54" s="353">
        <v>8.9638872146606392</v>
      </c>
      <c r="F54" s="354">
        <v>9.3608798980712908</v>
      </c>
      <c r="G54" s="298">
        <v>8.7543939999999996</v>
      </c>
      <c r="H54" s="298">
        <v>8.7103070000000002</v>
      </c>
      <c r="I54" s="298">
        <v>8.7047209999999993</v>
      </c>
      <c r="J54" s="298">
        <v>8.6720810000000004</v>
      </c>
      <c r="K54" s="298">
        <v>8.7711889999999997</v>
      </c>
      <c r="L54" s="298">
        <v>8.7249210000000001</v>
      </c>
      <c r="M54" s="298">
        <v>8.665521</v>
      </c>
      <c r="N54" s="298">
        <v>8.5782380000000007</v>
      </c>
      <c r="O54" s="298">
        <v>8.4654989999999994</v>
      </c>
      <c r="P54" s="298">
        <v>8.3493230000000001</v>
      </c>
      <c r="Q54" s="298">
        <v>8.2274130000000003</v>
      </c>
      <c r="R54" s="298">
        <v>8.1002519999999993</v>
      </c>
      <c r="S54" s="298">
        <v>7.9630890000000001</v>
      </c>
      <c r="T54" s="298">
        <v>7.8215009999999996</v>
      </c>
      <c r="U54" s="298">
        <v>7.6724129999999997</v>
      </c>
      <c r="V54" s="298">
        <v>7.5382249999999997</v>
      </c>
      <c r="W54" s="298">
        <v>7.4181600000000003</v>
      </c>
      <c r="X54" s="298">
        <v>7.3157300000000003</v>
      </c>
      <c r="Y54" s="298">
        <v>7.224996</v>
      </c>
      <c r="Z54" s="298">
        <v>7.1462729999999999</v>
      </c>
      <c r="AA54" s="298">
        <v>7.080946</v>
      </c>
      <c r="AB54" s="298">
        <v>7.0268600000000001</v>
      </c>
      <c r="AC54" s="298">
        <v>6.9825390000000001</v>
      </c>
      <c r="AD54" s="298">
        <v>6.943378</v>
      </c>
      <c r="AE54" s="298">
        <v>6.9093359999999997</v>
      </c>
      <c r="AF54" s="298">
        <v>6.8818789999999996</v>
      </c>
      <c r="AG54" s="298">
        <v>6.8622290000000001</v>
      </c>
      <c r="AH54" s="298">
        <v>6.8497510000000004</v>
      </c>
      <c r="AI54" s="298">
        <v>6.8444979999999997</v>
      </c>
      <c r="AJ54" s="298">
        <v>6.8408179999999996</v>
      </c>
      <c r="AK54" s="299">
        <v>-8.9999999999999993E-3</v>
      </c>
    </row>
    <row r="55" spans="1:37">
      <c r="A55" s="6" t="s">
        <v>697</v>
      </c>
      <c r="B55" s="353">
        <v>1.63300001621246</v>
      </c>
      <c r="C55" s="353">
        <v>1.6219999790191699</v>
      </c>
      <c r="D55" s="353">
        <v>1.5329999923706099</v>
      </c>
      <c r="E55" s="353">
        <v>1.47300004959106</v>
      </c>
      <c r="F55" s="354">
        <v>1.45558297634125</v>
      </c>
      <c r="G55" s="298">
        <v>1.425</v>
      </c>
      <c r="H55" s="298">
        <v>1.399</v>
      </c>
      <c r="I55" s="298">
        <v>1.4039999999999999</v>
      </c>
      <c r="J55" s="298">
        <v>1.4059999999999999</v>
      </c>
      <c r="K55" s="298">
        <v>1.459821</v>
      </c>
      <c r="L55" s="298">
        <v>1.466666</v>
      </c>
      <c r="M55" s="298">
        <v>1.4738910000000001</v>
      </c>
      <c r="N55" s="298">
        <v>1.4802960000000001</v>
      </c>
      <c r="O55" s="298">
        <v>1.4860789999999999</v>
      </c>
      <c r="P55" s="298">
        <v>1.491026</v>
      </c>
      <c r="Q55" s="298">
        <v>1.496483</v>
      </c>
      <c r="R55" s="298">
        <v>1.5023390000000001</v>
      </c>
      <c r="S55" s="298">
        <v>1.5080819999999999</v>
      </c>
      <c r="T55" s="298">
        <v>1.514818</v>
      </c>
      <c r="U55" s="298">
        <v>1.5222910000000001</v>
      </c>
      <c r="V55" s="298">
        <v>1.529134</v>
      </c>
      <c r="W55" s="298">
        <v>1.5350699999999999</v>
      </c>
      <c r="X55" s="298">
        <v>1.540705</v>
      </c>
      <c r="Y55" s="298">
        <v>1.5457909999999999</v>
      </c>
      <c r="Z55" s="298">
        <v>1.550583</v>
      </c>
      <c r="AA55" s="298">
        <v>1.555024</v>
      </c>
      <c r="AB55" s="298">
        <v>1.559142</v>
      </c>
      <c r="AC55" s="298">
        <v>1.562889</v>
      </c>
      <c r="AD55" s="298">
        <v>1.5661639999999999</v>
      </c>
      <c r="AE55" s="298">
        <v>1.5691090000000001</v>
      </c>
      <c r="AF55" s="298">
        <v>1.5733360000000001</v>
      </c>
      <c r="AG55" s="298">
        <v>1.577515</v>
      </c>
      <c r="AH55" s="298">
        <v>1.5816300000000001</v>
      </c>
      <c r="AI55" s="298">
        <v>1.585529</v>
      </c>
      <c r="AJ55" s="298">
        <v>1.5896079999999999</v>
      </c>
      <c r="AK55" s="299">
        <v>5.0000000000000001E-3</v>
      </c>
    </row>
    <row r="56" spans="1:37">
      <c r="A56" s="6" t="s">
        <v>698</v>
      </c>
      <c r="B56" s="353">
        <v>4.1690001487731898</v>
      </c>
      <c r="C56" s="353">
        <v>4.1960000991821298</v>
      </c>
      <c r="D56" s="353">
        <v>3.9430000782012899</v>
      </c>
      <c r="E56" s="353">
        <v>3.90199995040894</v>
      </c>
      <c r="F56" s="354">
        <v>4.0923304557800302</v>
      </c>
      <c r="G56" s="298">
        <v>3.899</v>
      </c>
      <c r="H56" s="298">
        <v>3.7429999999999999</v>
      </c>
      <c r="I56" s="298">
        <v>3.859</v>
      </c>
      <c r="J56" s="298">
        <v>3.9089999999999998</v>
      </c>
      <c r="K56" s="298">
        <v>4.0858679999999996</v>
      </c>
      <c r="L56" s="298">
        <v>4.177359</v>
      </c>
      <c r="M56" s="298">
        <v>4.228364</v>
      </c>
      <c r="N56" s="298">
        <v>4.2508220000000003</v>
      </c>
      <c r="O56" s="298">
        <v>4.2730649999999999</v>
      </c>
      <c r="P56" s="298">
        <v>4.295331</v>
      </c>
      <c r="Q56" s="298">
        <v>4.319947</v>
      </c>
      <c r="R56" s="298">
        <v>4.3484850000000002</v>
      </c>
      <c r="S56" s="298">
        <v>4.3784619999999999</v>
      </c>
      <c r="T56" s="298">
        <v>4.4044730000000003</v>
      </c>
      <c r="U56" s="298">
        <v>4.436998</v>
      </c>
      <c r="V56" s="298">
        <v>4.460839</v>
      </c>
      <c r="W56" s="298">
        <v>4.4796500000000004</v>
      </c>
      <c r="X56" s="298">
        <v>4.4870289999999997</v>
      </c>
      <c r="Y56" s="298">
        <v>4.4989540000000003</v>
      </c>
      <c r="Z56" s="298">
        <v>4.5163840000000004</v>
      </c>
      <c r="AA56" s="298">
        <v>4.5280180000000003</v>
      </c>
      <c r="AB56" s="298">
        <v>4.5344899999999999</v>
      </c>
      <c r="AC56" s="298">
        <v>4.5444589999999998</v>
      </c>
      <c r="AD56" s="298">
        <v>4.5662190000000002</v>
      </c>
      <c r="AE56" s="298">
        <v>4.5865479999999996</v>
      </c>
      <c r="AF56" s="298">
        <v>4.5978500000000002</v>
      </c>
      <c r="AG56" s="298">
        <v>4.6070399999999996</v>
      </c>
      <c r="AH56" s="298">
        <v>4.6156879999999996</v>
      </c>
      <c r="AI56" s="298">
        <v>4.6224400000000001</v>
      </c>
      <c r="AJ56" s="298">
        <v>4.6207630000000002</v>
      </c>
      <c r="AK56" s="299">
        <v>8.0000000000000002E-3</v>
      </c>
    </row>
    <row r="57" spans="1:37">
      <c r="A57" s="6" t="s">
        <v>158</v>
      </c>
      <c r="B57" s="353">
        <v>3.21000003814697</v>
      </c>
      <c r="C57" s="353">
        <v>3.4670000076293901</v>
      </c>
      <c r="D57" s="353">
        <v>3.46799993515015</v>
      </c>
      <c r="E57" s="353">
        <v>3.4189999103546098</v>
      </c>
      <c r="F57" s="354">
        <v>3.47832202911377</v>
      </c>
      <c r="G57" s="298">
        <v>3.5059999999999998</v>
      </c>
      <c r="H57" s="298">
        <v>3.448</v>
      </c>
      <c r="I57" s="298">
        <v>3.5550000000000002</v>
      </c>
      <c r="J57" s="298">
        <v>3.601</v>
      </c>
      <c r="K57" s="298">
        <v>3.6780590000000002</v>
      </c>
      <c r="L57" s="298">
        <v>3.788999</v>
      </c>
      <c r="M57" s="298">
        <v>3.841418</v>
      </c>
      <c r="N57" s="298">
        <v>3.888255</v>
      </c>
      <c r="O57" s="298">
        <v>3.9148960000000002</v>
      </c>
      <c r="P57" s="298">
        <v>3.942434</v>
      </c>
      <c r="Q57" s="298">
        <v>3.9721639999999998</v>
      </c>
      <c r="R57" s="298">
        <v>4.005528</v>
      </c>
      <c r="S57" s="298">
        <v>4.0400039999999997</v>
      </c>
      <c r="T57" s="298">
        <v>4.0698509999999999</v>
      </c>
      <c r="U57" s="298">
        <v>4.1063919999999996</v>
      </c>
      <c r="V57" s="298">
        <v>4.1354759999999997</v>
      </c>
      <c r="W57" s="298">
        <v>4.1591009999999997</v>
      </c>
      <c r="X57" s="298">
        <v>4.1709329999999998</v>
      </c>
      <c r="Y57" s="298">
        <v>4.1869290000000001</v>
      </c>
      <c r="Z57" s="298">
        <v>4.2079300000000002</v>
      </c>
      <c r="AA57" s="298">
        <v>4.2245819999999998</v>
      </c>
      <c r="AB57" s="298">
        <v>4.2349610000000002</v>
      </c>
      <c r="AC57" s="298">
        <v>4.2486269999999999</v>
      </c>
      <c r="AD57" s="298">
        <v>4.2736000000000001</v>
      </c>
      <c r="AE57" s="298">
        <v>4.2970110000000004</v>
      </c>
      <c r="AF57" s="298">
        <v>4.3111389999999998</v>
      </c>
      <c r="AG57" s="298">
        <v>4.3229870000000004</v>
      </c>
      <c r="AH57" s="298">
        <v>4.3342970000000003</v>
      </c>
      <c r="AI57" s="298">
        <v>4.3436260000000004</v>
      </c>
      <c r="AJ57" s="298">
        <v>4.344544</v>
      </c>
      <c r="AK57" s="299">
        <v>8.0000000000000002E-3</v>
      </c>
    </row>
    <row r="58" spans="1:37">
      <c r="A58" s="6" t="s">
        <v>157</v>
      </c>
      <c r="B58" s="353">
        <v>0.68900001049041704</v>
      </c>
      <c r="C58" s="353">
        <v>0.72299998998642001</v>
      </c>
      <c r="D58" s="353">
        <v>0.60799998044967696</v>
      </c>
      <c r="E58" s="353">
        <v>0.58099997043609597</v>
      </c>
      <c r="F58" s="354">
        <v>0.63298153877258301</v>
      </c>
      <c r="G58" s="298">
        <v>0.46100000000000002</v>
      </c>
      <c r="H58" s="298">
        <v>0.34499999999999997</v>
      </c>
      <c r="I58" s="298">
        <v>0.32200000000000001</v>
      </c>
      <c r="J58" s="298">
        <v>0.35</v>
      </c>
      <c r="K58" s="298">
        <v>0.38553500000000002</v>
      </c>
      <c r="L58" s="298">
        <v>0.39021600000000001</v>
      </c>
      <c r="M58" s="298">
        <v>0.38447300000000001</v>
      </c>
      <c r="N58" s="298">
        <v>0.390044</v>
      </c>
      <c r="O58" s="298">
        <v>0.38984200000000002</v>
      </c>
      <c r="P58" s="298">
        <v>0.38874799999999998</v>
      </c>
      <c r="Q58" s="298">
        <v>0.38986300000000002</v>
      </c>
      <c r="R58" s="298">
        <v>0.38962000000000002</v>
      </c>
      <c r="S58" s="298">
        <v>0.390509</v>
      </c>
      <c r="T58" s="298">
        <v>0.392071</v>
      </c>
      <c r="U58" s="298">
        <v>0.392706</v>
      </c>
      <c r="V58" s="298">
        <v>0.39272899999999999</v>
      </c>
      <c r="W58" s="298">
        <v>0.39312000000000002</v>
      </c>
      <c r="X58" s="298">
        <v>0.39413599999999999</v>
      </c>
      <c r="Y58" s="298">
        <v>0.39485900000000002</v>
      </c>
      <c r="Z58" s="298">
        <v>0.396202</v>
      </c>
      <c r="AA58" s="298">
        <v>0.39659499999999998</v>
      </c>
      <c r="AB58" s="298">
        <v>0.39696300000000001</v>
      </c>
      <c r="AC58" s="298">
        <v>0.398011</v>
      </c>
      <c r="AD58" s="298">
        <v>0.39871400000000001</v>
      </c>
      <c r="AE58" s="298">
        <v>0.39992499999999997</v>
      </c>
      <c r="AF58" s="298">
        <v>0.40121899999999999</v>
      </c>
      <c r="AG58" s="298">
        <v>0.40172999999999998</v>
      </c>
      <c r="AH58" s="298">
        <v>0.402443</v>
      </c>
      <c r="AI58" s="298">
        <v>0.40342099999999997</v>
      </c>
      <c r="AJ58" s="298">
        <v>0.40445900000000001</v>
      </c>
      <c r="AK58" s="299">
        <v>6.0000000000000001E-3</v>
      </c>
    </row>
    <row r="59" spans="1:37">
      <c r="A59" s="6" t="s">
        <v>699</v>
      </c>
      <c r="B59" s="353">
        <v>2.8580451011657702</v>
      </c>
      <c r="C59" s="353">
        <v>2.73703241348267</v>
      </c>
      <c r="D59" s="353">
        <v>2.4269983768463099</v>
      </c>
      <c r="E59" s="353">
        <v>2.3350048065185498</v>
      </c>
      <c r="F59" s="354">
        <v>2.2457344532012899</v>
      </c>
      <c r="G59" s="298">
        <v>2.0800260000000002</v>
      </c>
      <c r="H59" s="298">
        <v>1.965076</v>
      </c>
      <c r="I59" s="298">
        <v>1.942002</v>
      </c>
      <c r="J59" s="298">
        <v>1.9470000000000001</v>
      </c>
      <c r="K59" s="298">
        <v>2.0148790000000001</v>
      </c>
      <c r="L59" s="298">
        <v>2.0685479999999998</v>
      </c>
      <c r="M59" s="298">
        <v>2.1349170000000002</v>
      </c>
      <c r="N59" s="298">
        <v>2.1911809999999998</v>
      </c>
      <c r="O59" s="298">
        <v>2.2368299999999999</v>
      </c>
      <c r="P59" s="298">
        <v>2.276913</v>
      </c>
      <c r="Q59" s="298">
        <v>2.3108819999999999</v>
      </c>
      <c r="R59" s="298">
        <v>2.3269329999999999</v>
      </c>
      <c r="S59" s="298">
        <v>2.343264</v>
      </c>
      <c r="T59" s="298">
        <v>2.3722750000000001</v>
      </c>
      <c r="U59" s="298">
        <v>2.404312</v>
      </c>
      <c r="V59" s="298">
        <v>2.4265159999999999</v>
      </c>
      <c r="W59" s="298">
        <v>2.458132</v>
      </c>
      <c r="X59" s="298">
        <v>2.474024</v>
      </c>
      <c r="Y59" s="298">
        <v>2.4762659999999999</v>
      </c>
      <c r="Z59" s="298">
        <v>2.4857459999999998</v>
      </c>
      <c r="AA59" s="298">
        <v>2.4935139999999998</v>
      </c>
      <c r="AB59" s="298">
        <v>2.4994040000000002</v>
      </c>
      <c r="AC59" s="298">
        <v>2.4986790000000001</v>
      </c>
      <c r="AD59" s="298">
        <v>2.5103719999999998</v>
      </c>
      <c r="AE59" s="298">
        <v>2.5131139999999998</v>
      </c>
      <c r="AF59" s="298">
        <v>2.519142</v>
      </c>
      <c r="AG59" s="298">
        <v>2.531539</v>
      </c>
      <c r="AH59" s="298">
        <v>2.5507759999999999</v>
      </c>
      <c r="AI59" s="298">
        <v>2.550128</v>
      </c>
      <c r="AJ59" s="298">
        <v>2.5471759999999999</v>
      </c>
      <c r="AK59" s="299">
        <v>8.9999999999999993E-3</v>
      </c>
    </row>
    <row r="60" spans="1:37">
      <c r="A60" s="6" t="s">
        <v>156</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row>
    <row r="61" spans="1:37">
      <c r="A61" s="6" t="s">
        <v>155</v>
      </c>
      <c r="B61" s="353">
        <v>1.0618205070495601</v>
      </c>
      <c r="C61" s="353">
        <v>1.1093590259552</v>
      </c>
      <c r="D61" s="353">
        <v>1.0993635654449501</v>
      </c>
      <c r="E61" s="353">
        <v>1.10606873035431</v>
      </c>
      <c r="F61" s="354">
        <v>1.0538341999053999</v>
      </c>
      <c r="G61" s="298">
        <v>0.96948900000000005</v>
      </c>
      <c r="H61" s="298">
        <v>0.94076099999999996</v>
      </c>
      <c r="I61" s="298">
        <v>0.95062599999999997</v>
      </c>
      <c r="J61" s="298">
        <v>0.94062699999999999</v>
      </c>
      <c r="K61" s="298">
        <v>0.91689699999999996</v>
      </c>
      <c r="L61" s="298">
        <v>0.91578099999999996</v>
      </c>
      <c r="M61" s="298">
        <v>0.90966899999999995</v>
      </c>
      <c r="N61" s="298">
        <v>0.90114399999999995</v>
      </c>
      <c r="O61" s="298">
        <v>0.89199799999999996</v>
      </c>
      <c r="P61" s="298">
        <v>0.88283199999999995</v>
      </c>
      <c r="Q61" s="298">
        <v>0.87347300000000005</v>
      </c>
      <c r="R61" s="298">
        <v>0.86438899999999996</v>
      </c>
      <c r="S61" s="298">
        <v>0.85625499999999999</v>
      </c>
      <c r="T61" s="298">
        <v>0.84867599999999999</v>
      </c>
      <c r="U61" s="298">
        <v>0.84107299999999996</v>
      </c>
      <c r="V61" s="298">
        <v>0.83371399999999996</v>
      </c>
      <c r="W61" s="298">
        <v>0.82639200000000002</v>
      </c>
      <c r="X61" s="298">
        <v>0.81992799999999999</v>
      </c>
      <c r="Y61" s="298">
        <v>0.81319300000000005</v>
      </c>
      <c r="Z61" s="298">
        <v>0.80710899999999997</v>
      </c>
      <c r="AA61" s="298">
        <v>0.80122000000000004</v>
      </c>
      <c r="AB61" s="298">
        <v>0.795458</v>
      </c>
      <c r="AC61" s="298">
        <v>0.79006900000000002</v>
      </c>
      <c r="AD61" s="298">
        <v>0.78411900000000001</v>
      </c>
      <c r="AE61" s="298">
        <v>0.77970600000000001</v>
      </c>
      <c r="AF61" s="298">
        <v>0.77555200000000002</v>
      </c>
      <c r="AG61" s="298">
        <v>0.771922</v>
      </c>
      <c r="AH61" s="298">
        <v>0.76868800000000004</v>
      </c>
      <c r="AI61" s="298">
        <v>0.76499200000000001</v>
      </c>
      <c r="AJ61" s="298">
        <v>0.76103399999999999</v>
      </c>
      <c r="AK61" s="299">
        <v>-8.0000000000000002E-3</v>
      </c>
    </row>
    <row r="62" spans="1:37">
      <c r="A62" s="6" t="s">
        <v>700</v>
      </c>
      <c r="B62" s="353">
        <v>5.3221449851989702</v>
      </c>
      <c r="C62" s="353">
        <v>5.2595095634460396</v>
      </c>
      <c r="D62" s="353">
        <v>4.9765362739562997</v>
      </c>
      <c r="E62" s="353">
        <v>4.70910596847534</v>
      </c>
      <c r="F62" s="354">
        <v>4.5219602584838903</v>
      </c>
      <c r="G62" s="298">
        <v>4.4511919999999998</v>
      </c>
      <c r="H62" s="298">
        <v>4.421297</v>
      </c>
      <c r="I62" s="298">
        <v>4.5209929999999998</v>
      </c>
      <c r="J62" s="298">
        <v>4.6163509999999999</v>
      </c>
      <c r="K62" s="298">
        <v>4.7672689999999998</v>
      </c>
      <c r="L62" s="298">
        <v>4.940448</v>
      </c>
      <c r="M62" s="298">
        <v>5.0828059999999997</v>
      </c>
      <c r="N62" s="298">
        <v>5.1973799999999999</v>
      </c>
      <c r="O62" s="298">
        <v>5.2962569999999998</v>
      </c>
      <c r="P62" s="298">
        <v>5.3737599999999999</v>
      </c>
      <c r="Q62" s="298">
        <v>5.42516</v>
      </c>
      <c r="R62" s="298">
        <v>5.4817600000000004</v>
      </c>
      <c r="S62" s="298">
        <v>5.536664</v>
      </c>
      <c r="T62" s="298">
        <v>5.5895760000000001</v>
      </c>
      <c r="U62" s="298">
        <v>5.635637</v>
      </c>
      <c r="V62" s="298">
        <v>5.6575449999999998</v>
      </c>
      <c r="W62" s="298">
        <v>5.6945290000000002</v>
      </c>
      <c r="X62" s="298">
        <v>5.724005</v>
      </c>
      <c r="Y62" s="298">
        <v>5.7184200000000001</v>
      </c>
      <c r="Z62" s="298">
        <v>5.7229380000000001</v>
      </c>
      <c r="AA62" s="298">
        <v>5.7270849999999998</v>
      </c>
      <c r="AB62" s="298">
        <v>5.7279549999999997</v>
      </c>
      <c r="AC62" s="298">
        <v>5.7151949999999996</v>
      </c>
      <c r="AD62" s="298">
        <v>5.7039289999999996</v>
      </c>
      <c r="AE62" s="298">
        <v>5.6985010000000003</v>
      </c>
      <c r="AF62" s="298">
        <v>5.6904269999999997</v>
      </c>
      <c r="AG62" s="298">
        <v>5.7088890000000001</v>
      </c>
      <c r="AH62" s="298">
        <v>5.7191020000000004</v>
      </c>
      <c r="AI62" s="298">
        <v>5.7061400000000004</v>
      </c>
      <c r="AJ62" s="298">
        <v>5.6839209999999998</v>
      </c>
      <c r="AK62" s="299">
        <v>8.9999999999999993E-3</v>
      </c>
    </row>
    <row r="63" spans="1:37">
      <c r="A63" s="6" t="s">
        <v>154</v>
      </c>
      <c r="B63" s="353">
        <v>14.205528259277299</v>
      </c>
      <c r="C63" s="353">
        <v>14.253752708435099</v>
      </c>
      <c r="D63" s="353">
        <v>13.661909103393601</v>
      </c>
      <c r="E63" s="353">
        <v>13.477608680725099</v>
      </c>
      <c r="F63" s="354">
        <v>13.9932947158813</v>
      </c>
      <c r="G63" s="298">
        <v>13.653123000000001</v>
      </c>
      <c r="H63" s="298">
        <v>13.443807</v>
      </c>
      <c r="I63" s="298">
        <v>13.46326</v>
      </c>
      <c r="J63" s="298">
        <v>13.410075000000001</v>
      </c>
      <c r="K63" s="298">
        <v>13.391593</v>
      </c>
      <c r="L63" s="298">
        <v>13.423278</v>
      </c>
      <c r="M63" s="298">
        <v>13.416093</v>
      </c>
      <c r="N63" s="298">
        <v>13.359128999999999</v>
      </c>
      <c r="O63" s="298">
        <v>13.277658000000001</v>
      </c>
      <c r="P63" s="298">
        <v>13.193913999999999</v>
      </c>
      <c r="Q63" s="298">
        <v>13.108468</v>
      </c>
      <c r="R63" s="298">
        <v>13.021044</v>
      </c>
      <c r="S63" s="298">
        <v>12.924597</v>
      </c>
      <c r="T63" s="298">
        <v>12.819832</v>
      </c>
      <c r="U63" s="298">
        <v>12.713536</v>
      </c>
      <c r="V63" s="298">
        <v>12.616394</v>
      </c>
      <c r="W63" s="298">
        <v>12.527696000000001</v>
      </c>
      <c r="X63" s="298">
        <v>12.445028000000001</v>
      </c>
      <c r="Y63" s="298">
        <v>12.377145000000001</v>
      </c>
      <c r="Z63" s="298">
        <v>12.324268</v>
      </c>
      <c r="AA63" s="298">
        <v>12.281888</v>
      </c>
      <c r="AB63" s="298">
        <v>12.244210000000001</v>
      </c>
      <c r="AC63" s="298">
        <v>12.219082999999999</v>
      </c>
      <c r="AD63" s="298">
        <v>12.208591999999999</v>
      </c>
      <c r="AE63" s="298">
        <v>12.201549</v>
      </c>
      <c r="AF63" s="298">
        <v>12.192887000000001</v>
      </c>
      <c r="AG63" s="298">
        <v>12.189211999999999</v>
      </c>
      <c r="AH63" s="298">
        <v>12.193395000000001</v>
      </c>
      <c r="AI63" s="298">
        <v>12.201965</v>
      </c>
      <c r="AJ63" s="298">
        <v>12.203708000000001</v>
      </c>
      <c r="AK63" s="299">
        <v>-3.0000000000000001E-3</v>
      </c>
    </row>
    <row r="64" spans="1:37">
      <c r="A64" s="6" t="s">
        <v>701</v>
      </c>
      <c r="B64" s="353">
        <v>0.28576692938804599</v>
      </c>
      <c r="C64" s="353">
        <v>0.295045405626297</v>
      </c>
      <c r="D64" s="353">
        <v>0.215673848986626</v>
      </c>
      <c r="E64" s="353">
        <v>0.21838557720184301</v>
      </c>
      <c r="F64" s="354">
        <v>0.21773074567317999</v>
      </c>
      <c r="G64" s="298">
        <v>0.13995199999999999</v>
      </c>
      <c r="H64" s="298">
        <v>0.10258100000000001</v>
      </c>
      <c r="I64" s="298">
        <v>9.1968999999999995E-2</v>
      </c>
      <c r="J64" s="298">
        <v>9.2428999999999997E-2</v>
      </c>
      <c r="K64" s="298">
        <v>9.2261999999999997E-2</v>
      </c>
      <c r="L64" s="298">
        <v>8.9524000000000006E-2</v>
      </c>
      <c r="M64" s="298">
        <v>7.9076999999999995E-2</v>
      </c>
      <c r="N64" s="298">
        <v>8.0381999999999995E-2</v>
      </c>
      <c r="O64" s="298">
        <v>8.0076999999999995E-2</v>
      </c>
      <c r="P64" s="298">
        <v>8.0298999999999995E-2</v>
      </c>
      <c r="Q64" s="298">
        <v>8.0979999999999996E-2</v>
      </c>
      <c r="R64" s="298">
        <v>8.1548999999999996E-2</v>
      </c>
      <c r="S64" s="298">
        <v>8.2155000000000006E-2</v>
      </c>
      <c r="T64" s="298">
        <v>8.3019999999999997E-2</v>
      </c>
      <c r="U64" s="298">
        <v>8.3024000000000001E-2</v>
      </c>
      <c r="V64" s="298">
        <v>8.1849000000000005E-2</v>
      </c>
      <c r="W64" s="298">
        <v>8.1641000000000005E-2</v>
      </c>
      <c r="X64" s="298">
        <v>8.1735000000000002E-2</v>
      </c>
      <c r="Y64" s="298">
        <v>8.2040000000000002E-2</v>
      </c>
      <c r="Z64" s="298">
        <v>8.2365999999999995E-2</v>
      </c>
      <c r="AA64" s="298">
        <v>8.1250000000000003E-2</v>
      </c>
      <c r="AB64" s="298">
        <v>8.1303E-2</v>
      </c>
      <c r="AC64" s="298">
        <v>8.1448999999999994E-2</v>
      </c>
      <c r="AD64" s="298">
        <v>8.1864999999999993E-2</v>
      </c>
      <c r="AE64" s="298">
        <v>8.2123000000000002E-2</v>
      </c>
      <c r="AF64" s="298">
        <v>8.2472000000000004E-2</v>
      </c>
      <c r="AG64" s="298">
        <v>8.2769999999999996E-2</v>
      </c>
      <c r="AH64" s="298">
        <v>8.3155000000000007E-2</v>
      </c>
      <c r="AI64" s="298">
        <v>8.3571999999999994E-2</v>
      </c>
      <c r="AJ64" s="298">
        <v>8.3961999999999995E-2</v>
      </c>
      <c r="AK64" s="299">
        <v>-7.0000000000000001E-3</v>
      </c>
    </row>
    <row r="65" spans="1:37">
      <c r="A65" s="6" t="s">
        <v>153</v>
      </c>
      <c r="B65" s="353">
        <v>20.654685974121101</v>
      </c>
      <c r="C65" s="353">
        <v>20.6498107910156</v>
      </c>
      <c r="D65" s="353">
        <v>19.5445957183838</v>
      </c>
      <c r="E65" s="353">
        <v>19.245325088501001</v>
      </c>
      <c r="F65" s="354">
        <v>19.787778854370099</v>
      </c>
      <c r="G65" s="249">
        <v>18.92342</v>
      </c>
      <c r="H65" s="249">
        <v>18.486381999999999</v>
      </c>
      <c r="I65" s="249">
        <v>18.638722999999999</v>
      </c>
      <c r="J65" s="249">
        <v>18.700082999999999</v>
      </c>
      <c r="K65" s="249">
        <v>19.167159999999999</v>
      </c>
      <c r="L65" s="249">
        <v>19.368099000000001</v>
      </c>
      <c r="M65" s="249">
        <v>19.486657999999998</v>
      </c>
      <c r="N65" s="249">
        <v>19.537004</v>
      </c>
      <c r="O65" s="249">
        <v>19.544903000000001</v>
      </c>
      <c r="P65" s="249">
        <v>19.529665000000001</v>
      </c>
      <c r="Q65" s="249">
        <v>19.486916000000001</v>
      </c>
      <c r="R65" s="249">
        <v>19.44755</v>
      </c>
      <c r="S65" s="249">
        <v>19.398457000000001</v>
      </c>
      <c r="T65" s="249">
        <v>19.339873999999998</v>
      </c>
      <c r="U65" s="249">
        <v>19.272027999999999</v>
      </c>
      <c r="V65" s="249">
        <v>19.188255000000002</v>
      </c>
      <c r="W65" s="249">
        <v>19.129000000000001</v>
      </c>
      <c r="X65" s="249">
        <v>19.069431000000002</v>
      </c>
      <c r="Y65" s="249">
        <v>18.989547999999999</v>
      </c>
      <c r="Z65" s="249">
        <v>18.935445999999999</v>
      </c>
      <c r="AA65" s="249">
        <v>18.890217</v>
      </c>
      <c r="AB65" s="249">
        <v>18.847709999999999</v>
      </c>
      <c r="AC65" s="249">
        <v>18.804594000000002</v>
      </c>
      <c r="AD65" s="249">
        <v>18.777315000000002</v>
      </c>
      <c r="AE65" s="249">
        <v>18.760704</v>
      </c>
      <c r="AF65" s="249">
        <v>18.740176999999999</v>
      </c>
      <c r="AG65" s="249">
        <v>18.751633000000002</v>
      </c>
      <c r="AH65" s="249">
        <v>18.763190999999999</v>
      </c>
      <c r="AI65" s="249">
        <v>18.755531000000001</v>
      </c>
      <c r="AJ65" s="249">
        <v>18.731504000000001</v>
      </c>
      <c r="AK65" s="250">
        <v>0</v>
      </c>
    </row>
    <row r="66" spans="1:37">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row>
    <row r="67" spans="1:37">
      <c r="A67" s="6" t="s">
        <v>702</v>
      </c>
      <c r="B67" s="353">
        <v>4.2667388916015597E-2</v>
      </c>
      <c r="C67" s="353">
        <v>0.11821937561035201</v>
      </c>
      <c r="D67" s="353">
        <v>0.102603912353516</v>
      </c>
      <c r="E67" s="353">
        <v>0.17598533630371099</v>
      </c>
      <c r="F67" s="354">
        <v>-0.19984626770019501</v>
      </c>
      <c r="G67" s="298">
        <v>1.5162999999999999E-2</v>
      </c>
      <c r="H67" s="298">
        <v>0.105907</v>
      </c>
      <c r="I67" s="298">
        <v>0.34659600000000002</v>
      </c>
      <c r="J67" s="298">
        <v>0.115158</v>
      </c>
      <c r="K67" s="298">
        <v>-9.7140000000000004E-3</v>
      </c>
      <c r="L67" s="298">
        <v>-9.1500000000000001E-3</v>
      </c>
      <c r="M67" s="298">
        <v>-9.129E-3</v>
      </c>
      <c r="N67" s="298">
        <v>-9.3959999999999998E-3</v>
      </c>
      <c r="O67" s="298">
        <v>-9.4409999999999997E-3</v>
      </c>
      <c r="P67" s="298">
        <v>-9.2980000000000007E-3</v>
      </c>
      <c r="Q67" s="298">
        <v>-9.8270000000000007E-3</v>
      </c>
      <c r="R67" s="298">
        <v>-9.7409999999999997E-3</v>
      </c>
      <c r="S67" s="298">
        <v>-9.6889999999999997E-3</v>
      </c>
      <c r="T67" s="298">
        <v>-9.8569999999999994E-3</v>
      </c>
      <c r="U67" s="298">
        <v>-9.7099999999999999E-3</v>
      </c>
      <c r="V67" s="298">
        <v>-9.4129999999999995E-3</v>
      </c>
      <c r="W67" s="298">
        <v>-9.7260000000000003E-3</v>
      </c>
      <c r="X67" s="298">
        <v>-9.5440000000000004E-3</v>
      </c>
      <c r="Y67" s="298">
        <v>-8.9110000000000005E-3</v>
      </c>
      <c r="Z67" s="298">
        <v>-9.2739999999999993E-3</v>
      </c>
      <c r="AA67" s="298">
        <v>-9.4389999999999995E-3</v>
      </c>
      <c r="AB67" s="298">
        <v>-9.6170000000000005E-3</v>
      </c>
      <c r="AC67" s="298">
        <v>-9.1479999999999999E-3</v>
      </c>
      <c r="AD67" s="298">
        <v>-8.9969999999999998E-3</v>
      </c>
      <c r="AE67" s="298">
        <v>-8.8159999999999992E-3</v>
      </c>
      <c r="AF67" s="298">
        <v>-8.2660000000000008E-3</v>
      </c>
      <c r="AG67" s="298">
        <v>-8.2740000000000001E-3</v>
      </c>
      <c r="AH67" s="298">
        <v>-7.711E-3</v>
      </c>
      <c r="AI67" s="298">
        <v>-7.0080000000000003E-3</v>
      </c>
      <c r="AJ67" s="298">
        <v>-6.5420000000000001E-3</v>
      </c>
      <c r="AK67" s="298" t="s">
        <v>41</v>
      </c>
    </row>
    <row r="68" spans="1:37">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row>
    <row r="69" spans="1:37">
      <c r="A69" s="6" t="s">
        <v>703</v>
      </c>
      <c r="B69" s="367">
        <v>17.3390007019043</v>
      </c>
      <c r="C69" s="367">
        <v>17.4409999847412</v>
      </c>
      <c r="D69" s="367">
        <v>17.5890007019043</v>
      </c>
      <c r="E69" s="367">
        <v>17.5890007019043</v>
      </c>
      <c r="F69" s="368">
        <v>17.994850158691399</v>
      </c>
      <c r="G69" s="298">
        <v>17.704999999999998</v>
      </c>
      <c r="H69" s="298">
        <v>17.315000999999999</v>
      </c>
      <c r="I69" s="298">
        <v>17.818999999999999</v>
      </c>
      <c r="J69" s="298">
        <v>17.818999999999999</v>
      </c>
      <c r="K69" s="298">
        <v>18.114657999999999</v>
      </c>
      <c r="L69" s="298">
        <v>18.129657999999999</v>
      </c>
      <c r="M69" s="298">
        <v>18.129657999999999</v>
      </c>
      <c r="N69" s="298">
        <v>18.129657999999999</v>
      </c>
      <c r="O69" s="298">
        <v>18.129657999999999</v>
      </c>
      <c r="P69" s="298">
        <v>18.129657999999999</v>
      </c>
      <c r="Q69" s="298">
        <v>18.129657999999999</v>
      </c>
      <c r="R69" s="298">
        <v>18.129657999999999</v>
      </c>
      <c r="S69" s="298">
        <v>18.129657999999999</v>
      </c>
      <c r="T69" s="298">
        <v>18.129657999999999</v>
      </c>
      <c r="U69" s="298">
        <v>18.129657999999999</v>
      </c>
      <c r="V69" s="298">
        <v>18.129657999999999</v>
      </c>
      <c r="W69" s="298">
        <v>18.129657999999999</v>
      </c>
      <c r="X69" s="298">
        <v>18.129657999999999</v>
      </c>
      <c r="Y69" s="298">
        <v>18.129657999999999</v>
      </c>
      <c r="Z69" s="298">
        <v>18.129657999999999</v>
      </c>
      <c r="AA69" s="298">
        <v>18.129657999999999</v>
      </c>
      <c r="AB69" s="298">
        <v>18.129657999999999</v>
      </c>
      <c r="AC69" s="298">
        <v>18.129657999999999</v>
      </c>
      <c r="AD69" s="298">
        <v>18.129657999999999</v>
      </c>
      <c r="AE69" s="298">
        <v>18.129657999999999</v>
      </c>
      <c r="AF69" s="298">
        <v>18.129657999999999</v>
      </c>
      <c r="AG69" s="298">
        <v>18.129657999999999</v>
      </c>
      <c r="AH69" s="298">
        <v>18.129657999999999</v>
      </c>
      <c r="AI69" s="298">
        <v>18.129657999999999</v>
      </c>
      <c r="AJ69" s="298">
        <v>18.129657999999999</v>
      </c>
      <c r="AK69" s="299">
        <v>2E-3</v>
      </c>
    </row>
    <row r="70" spans="1:37">
      <c r="A70" s="6" t="s">
        <v>704</v>
      </c>
      <c r="B70" s="367">
        <v>90</v>
      </c>
      <c r="C70" s="367">
        <v>89</v>
      </c>
      <c r="D70" s="367">
        <v>85</v>
      </c>
      <c r="E70" s="367">
        <v>84</v>
      </c>
      <c r="F70" s="368">
        <v>78.951698303222699</v>
      </c>
      <c r="G70" s="298">
        <v>86</v>
      </c>
      <c r="H70" s="298">
        <v>89</v>
      </c>
      <c r="I70" s="298">
        <v>87</v>
      </c>
      <c r="J70" s="298">
        <v>87</v>
      </c>
      <c r="K70" s="298">
        <v>83.929221999999996</v>
      </c>
      <c r="L70" s="298">
        <v>84.444526999999994</v>
      </c>
      <c r="M70" s="298">
        <v>84.784676000000005</v>
      </c>
      <c r="N70" s="298">
        <v>84.856537000000003</v>
      </c>
      <c r="O70" s="298">
        <v>84.762580999999997</v>
      </c>
      <c r="P70" s="298">
        <v>84.610602999999998</v>
      </c>
      <c r="Q70" s="298">
        <v>84.422150000000002</v>
      </c>
      <c r="R70" s="298">
        <v>84.011527999999998</v>
      </c>
      <c r="S70" s="298">
        <v>83.650841</v>
      </c>
      <c r="T70" s="298">
        <v>83.337349000000003</v>
      </c>
      <c r="U70" s="298">
        <v>83.051040999999998</v>
      </c>
      <c r="V70" s="298">
        <v>82.852858999999995</v>
      </c>
      <c r="W70" s="298">
        <v>82.751807999999997</v>
      </c>
      <c r="X70" s="298">
        <v>82.579086000000004</v>
      </c>
      <c r="Y70" s="298">
        <v>82.446686</v>
      </c>
      <c r="Z70" s="298">
        <v>82.407532000000003</v>
      </c>
      <c r="AA70" s="298">
        <v>82.401390000000006</v>
      </c>
      <c r="AB70" s="298">
        <v>82.379172999999994</v>
      </c>
      <c r="AC70" s="298">
        <v>82.419548000000006</v>
      </c>
      <c r="AD70" s="298">
        <v>82.643226999999996</v>
      </c>
      <c r="AE70" s="298">
        <v>82.856575000000007</v>
      </c>
      <c r="AF70" s="298">
        <v>83.059607999999997</v>
      </c>
      <c r="AG70" s="298">
        <v>83.321395999999993</v>
      </c>
      <c r="AH70" s="298">
        <v>83.713463000000004</v>
      </c>
      <c r="AI70" s="298">
        <v>83.800713000000002</v>
      </c>
      <c r="AJ70" s="298">
        <v>83.967208999999997</v>
      </c>
      <c r="AK70" s="299">
        <v>-2E-3</v>
      </c>
    </row>
    <row r="71" spans="1:37">
      <c r="A71" s="6" t="s">
        <v>152</v>
      </c>
      <c r="B71" s="367">
        <v>60.165718078613303</v>
      </c>
      <c r="C71" s="367">
        <v>58.3234672546387</v>
      </c>
      <c r="D71" s="367">
        <v>56.096931457519503</v>
      </c>
      <c r="E71" s="367">
        <v>53.113201141357401</v>
      </c>
      <c r="F71" s="368">
        <v>50.657768249511697</v>
      </c>
      <c r="G71" s="298">
        <v>45.229275000000001</v>
      </c>
      <c r="H71" s="298">
        <v>40.315280999999999</v>
      </c>
      <c r="I71" s="298">
        <v>33.537674000000003</v>
      </c>
      <c r="J71" s="298">
        <v>28.732861</v>
      </c>
      <c r="K71" s="298">
        <v>27.439371000000001</v>
      </c>
      <c r="L71" s="298">
        <v>25.212821999999999</v>
      </c>
      <c r="M71" s="298">
        <v>25.371447</v>
      </c>
      <c r="N71" s="298">
        <v>25.397780999999998</v>
      </c>
      <c r="O71" s="298">
        <v>25.272306</v>
      </c>
      <c r="P71" s="298">
        <v>25.605276</v>
      </c>
      <c r="Q71" s="298">
        <v>26.339932999999998</v>
      </c>
      <c r="R71" s="298">
        <v>26.391024000000002</v>
      </c>
      <c r="S71" s="298">
        <v>26.330031999999999</v>
      </c>
      <c r="T71" s="298">
        <v>26.557704999999999</v>
      </c>
      <c r="U71" s="298">
        <v>26.574638</v>
      </c>
      <c r="V71" s="298">
        <v>27.074511000000001</v>
      </c>
      <c r="W71" s="298">
        <v>27.628391000000001</v>
      </c>
      <c r="X71" s="298">
        <v>28.164417</v>
      </c>
      <c r="Y71" s="298">
        <v>28.574669</v>
      </c>
      <c r="Z71" s="298">
        <v>28.600802999999999</v>
      </c>
      <c r="AA71" s="298">
        <v>29.035553</v>
      </c>
      <c r="AB71" s="298">
        <v>29.225125999999999</v>
      </c>
      <c r="AC71" s="298">
        <v>29.185209</v>
      </c>
      <c r="AD71" s="298">
        <v>29.338975999999999</v>
      </c>
      <c r="AE71" s="298">
        <v>29.911650000000002</v>
      </c>
      <c r="AF71" s="298">
        <v>30.578768</v>
      </c>
      <c r="AG71" s="298">
        <v>30.764973000000001</v>
      </c>
      <c r="AH71" s="298">
        <v>31.641760000000001</v>
      </c>
      <c r="AI71" s="298">
        <v>31.827915000000001</v>
      </c>
      <c r="AJ71" s="298">
        <v>32.156517000000001</v>
      </c>
      <c r="AK71" s="299">
        <v>-8.0000000000000002E-3</v>
      </c>
    </row>
    <row r="72" spans="1:37" s="269" customFormat="1">
      <c r="A72" s="268" t="s">
        <v>151</v>
      </c>
      <c r="B72" s="353">
        <v>15.605100631713899</v>
      </c>
      <c r="C72" s="353">
        <v>15.522489547729499</v>
      </c>
      <c r="D72" s="353">
        <v>14.950650215148899</v>
      </c>
      <c r="E72" s="353">
        <v>14.7747602462769</v>
      </c>
      <c r="F72" s="354">
        <v>14.2072401046753</v>
      </c>
      <c r="G72" s="319">
        <v>14.3342885971069</v>
      </c>
      <c r="H72" s="319">
        <v>14.411810874939</v>
      </c>
      <c r="I72" s="319">
        <v>14.427806854248001</v>
      </c>
      <c r="J72" s="319">
        <v>14.247616767883301</v>
      </c>
      <c r="K72" s="319">
        <v>14.1760416030884</v>
      </c>
      <c r="L72" s="319">
        <v>14.1692085266113</v>
      </c>
      <c r="M72" s="319">
        <v>14.217811584472701</v>
      </c>
      <c r="N72" s="319">
        <v>14.219580650329601</v>
      </c>
      <c r="O72" s="319">
        <v>14.2103576660156</v>
      </c>
      <c r="P72" s="319">
        <v>14.200039863586399</v>
      </c>
      <c r="Q72" s="319">
        <v>14.1303453445435</v>
      </c>
      <c r="R72" s="319">
        <v>14.095740318298301</v>
      </c>
      <c r="S72" s="319">
        <v>14.0861167907715</v>
      </c>
      <c r="T72" s="319">
        <v>14.1125946044922</v>
      </c>
      <c r="U72" s="319">
        <v>14.163477897644</v>
      </c>
      <c r="V72" s="319">
        <v>14.242433547973601</v>
      </c>
      <c r="W72" s="319">
        <v>14.2973442077637</v>
      </c>
      <c r="X72" s="319">
        <v>14.4011936187744</v>
      </c>
      <c r="Y72" s="319">
        <v>14.4425506591797</v>
      </c>
      <c r="Z72" s="319">
        <v>14.573932647705099</v>
      </c>
      <c r="AA72" s="319"/>
      <c r="AB72" s="319"/>
      <c r="AC72" s="319"/>
      <c r="AD72" s="319"/>
      <c r="AE72" s="319"/>
      <c r="AF72" s="319"/>
      <c r="AG72" s="319"/>
      <c r="AH72" s="319"/>
      <c r="AI72" s="319"/>
      <c r="AJ72" s="319"/>
      <c r="AK72" s="320">
        <v>-2.73776054382324E-3</v>
      </c>
    </row>
    <row r="73" spans="1:37">
      <c r="A73" s="6" t="s">
        <v>150</v>
      </c>
    </row>
    <row r="74" spans="1:37">
      <c r="A74" s="6" t="s">
        <v>595</v>
      </c>
      <c r="B74" s="353">
        <v>272.80218505859398</v>
      </c>
      <c r="C74" s="353">
        <v>280.12564086914102</v>
      </c>
      <c r="D74" s="353">
        <v>321.28717041015602</v>
      </c>
      <c r="E74" s="353">
        <v>195.51596069335901</v>
      </c>
      <c r="F74" s="354">
        <v>246.62348937988301</v>
      </c>
      <c r="G74" s="298">
        <v>494.73007200000001</v>
      </c>
      <c r="H74" s="298">
        <v>313.70205700000002</v>
      </c>
      <c r="I74" s="298">
        <v>257.058716</v>
      </c>
      <c r="J74" s="298">
        <v>219.518845</v>
      </c>
      <c r="K74" s="298">
        <v>213.13346899999999</v>
      </c>
      <c r="L74" s="298">
        <v>192.04028299999999</v>
      </c>
      <c r="M74" s="298">
        <v>190.19305399999999</v>
      </c>
      <c r="N74" s="298">
        <v>190.97583</v>
      </c>
      <c r="O74" s="298">
        <v>193.05748</v>
      </c>
      <c r="P74" s="298">
        <v>198.85289</v>
      </c>
      <c r="Q74" s="298">
        <v>207.326324</v>
      </c>
      <c r="R74" s="298">
        <v>214.50224299999999</v>
      </c>
      <c r="S74" s="298">
        <v>220.992096</v>
      </c>
      <c r="T74" s="298">
        <v>228.38960299999999</v>
      </c>
      <c r="U74" s="298">
        <v>234.269226</v>
      </c>
      <c r="V74" s="298">
        <v>243.98199500000001</v>
      </c>
      <c r="W74" s="298">
        <v>254.790054</v>
      </c>
      <c r="X74" s="298">
        <v>263.61831699999999</v>
      </c>
      <c r="Y74" s="298">
        <v>272.543701</v>
      </c>
      <c r="Z74" s="298">
        <v>278.59802200000001</v>
      </c>
      <c r="AA74" s="298">
        <v>289.04888899999997</v>
      </c>
      <c r="AB74" s="298">
        <v>297.603973</v>
      </c>
      <c r="AC74" s="298">
        <v>305.14331099999998</v>
      </c>
      <c r="AD74" s="298">
        <v>315.75491299999999</v>
      </c>
      <c r="AE74" s="298">
        <v>327.328461</v>
      </c>
      <c r="AF74" s="298">
        <v>338.67947400000003</v>
      </c>
      <c r="AG74" s="298">
        <v>347.810272</v>
      </c>
      <c r="AH74" s="298">
        <v>363.35360700000001</v>
      </c>
      <c r="AI74" s="298">
        <v>372.92919899999998</v>
      </c>
      <c r="AJ74" s="298">
        <v>385.39370700000001</v>
      </c>
      <c r="AK74" s="299">
        <v>7.0000000000000001E-3</v>
      </c>
    </row>
    <row r="78" spans="1:37" s="267" customFormat="1" ht="15" customHeight="1">
      <c r="A78" s="562" t="s">
        <v>596</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303"/>
      <c r="AH78" s="303"/>
      <c r="AI78" s="303"/>
      <c r="AJ78" s="303"/>
      <c r="AK78" s="303"/>
    </row>
    <row r="79" spans="1:37" customFormat="1" ht="15" customHeight="1">
      <c r="A79" s="561" t="s">
        <v>597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302"/>
      <c r="AH79" s="302"/>
      <c r="AI79" s="302"/>
      <c r="AJ79" s="302"/>
      <c r="AK79" s="302"/>
    </row>
    <row r="80" spans="1:37" customFormat="1" ht="15" customHeight="1">
      <c r="A80" s="561" t="s">
        <v>598</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302"/>
      <c r="AH80" s="302"/>
      <c r="AI80" s="302"/>
      <c r="AJ80" s="302"/>
      <c r="AK80" s="302"/>
    </row>
    <row r="81" spans="1:37" customFormat="1" ht="15" customHeight="1">
      <c r="A81" s="561" t="s">
        <v>599</v>
      </c>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302"/>
      <c r="AH81" s="302"/>
      <c r="AI81" s="302"/>
      <c r="AJ81" s="302"/>
      <c r="AK81" s="302"/>
    </row>
    <row r="82" spans="1:37" customFormat="1" ht="15" customHeight="1">
      <c r="A82" s="561" t="s">
        <v>600</v>
      </c>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302"/>
      <c r="AH82" s="302"/>
      <c r="AI82" s="302"/>
      <c r="AJ82" s="302"/>
      <c r="AK82" s="302"/>
    </row>
    <row r="83" spans="1:37" customFormat="1" ht="15" customHeight="1">
      <c r="A83" s="561" t="s">
        <v>601</v>
      </c>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302"/>
      <c r="AH83" s="302"/>
      <c r="AI83" s="302"/>
      <c r="AJ83" s="302"/>
      <c r="AK83" s="302"/>
    </row>
    <row r="84" spans="1:37" customFormat="1" ht="15" customHeight="1">
      <c r="A84" s="561" t="s">
        <v>602</v>
      </c>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302"/>
      <c r="AH84" s="302"/>
      <c r="AI84" s="302"/>
      <c r="AJ84" s="302"/>
      <c r="AK84" s="302"/>
    </row>
    <row r="85" spans="1:37" customFormat="1" ht="15" customHeight="1">
      <c r="A85" s="561" t="s">
        <v>603</v>
      </c>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302"/>
      <c r="AH85" s="302"/>
      <c r="AI85" s="302"/>
      <c r="AJ85" s="302"/>
      <c r="AK85" s="302"/>
    </row>
    <row r="86" spans="1:37" customFormat="1" ht="15" customHeight="1">
      <c r="A86" s="561" t="s">
        <v>604</v>
      </c>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302"/>
      <c r="AH86" s="302"/>
      <c r="AI86" s="302"/>
      <c r="AJ86" s="302"/>
      <c r="AK86" s="302"/>
    </row>
    <row r="87" spans="1:37" customFormat="1" ht="15" customHeight="1">
      <c r="A87" s="561" t="s">
        <v>605</v>
      </c>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302"/>
      <c r="AH87" s="302"/>
      <c r="AI87" s="302"/>
      <c r="AJ87" s="302"/>
      <c r="AK87" s="302"/>
    </row>
    <row r="88" spans="1:37" customFormat="1" ht="15" customHeight="1">
      <c r="A88" s="561" t="s">
        <v>606</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302"/>
      <c r="AH88" s="302"/>
      <c r="AI88" s="302"/>
      <c r="AJ88" s="302"/>
      <c r="AK88" s="302"/>
    </row>
    <row r="89" spans="1:37" customFormat="1" ht="15" customHeight="1">
      <c r="A89" s="561" t="s">
        <v>607</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302"/>
      <c r="AH89" s="302"/>
      <c r="AI89" s="302"/>
      <c r="AJ89" s="302"/>
      <c r="AK89" s="302"/>
    </row>
    <row r="90" spans="1:37" customFormat="1" ht="15" customHeight="1">
      <c r="A90" s="561" t="s">
        <v>608</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302"/>
      <c r="AH90" s="302"/>
      <c r="AI90" s="302"/>
      <c r="AJ90" s="302"/>
      <c r="AK90" s="302"/>
    </row>
    <row r="91" spans="1:37" customFormat="1" ht="15" customHeight="1">
      <c r="A91" s="561" t="s">
        <v>609</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302"/>
      <c r="AH91" s="302"/>
      <c r="AI91" s="302"/>
      <c r="AJ91" s="302"/>
      <c r="AK91" s="302"/>
    </row>
    <row r="92" spans="1:37" customFormat="1" ht="15" customHeight="1">
      <c r="A92" s="561" t="s">
        <v>610</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302"/>
      <c r="AH92" s="302"/>
      <c r="AI92" s="302"/>
      <c r="AJ92" s="302"/>
      <c r="AK92" s="302"/>
    </row>
    <row r="93" spans="1:37" customFormat="1" ht="15" customHeight="1">
      <c r="A93" s="561" t="s">
        <v>611</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302"/>
      <c r="AH93" s="302"/>
      <c r="AI93" s="302"/>
      <c r="AJ93" s="302"/>
      <c r="AK93" s="302"/>
    </row>
    <row r="94" spans="1:37" customFormat="1" ht="15" customHeight="1">
      <c r="A94" s="561" t="s">
        <v>612</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302"/>
      <c r="AH94" s="302"/>
      <c r="AI94" s="302"/>
      <c r="AJ94" s="302"/>
      <c r="AK94" s="302"/>
    </row>
    <row r="95" spans="1:37" customFormat="1" ht="15" customHeight="1">
      <c r="A95" s="561" t="s">
        <v>613</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302"/>
      <c r="AH95" s="302"/>
      <c r="AI95" s="302"/>
      <c r="AJ95" s="302"/>
      <c r="AK95" s="302"/>
    </row>
    <row r="96" spans="1:37" customFormat="1" ht="15" customHeight="1">
      <c r="A96" s="561" t="s">
        <v>614</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302"/>
      <c r="AH96" s="302"/>
      <c r="AI96" s="302"/>
      <c r="AJ96" s="302"/>
      <c r="AK96" s="302"/>
    </row>
    <row r="97" spans="1:37" customFormat="1" ht="15" customHeight="1">
      <c r="A97" s="561" t="s">
        <v>615</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302"/>
      <c r="AH97" s="302"/>
      <c r="AI97" s="302"/>
      <c r="AJ97" s="302"/>
      <c r="AK97" s="302"/>
    </row>
    <row r="98" spans="1:37" customFormat="1" ht="15" customHeight="1">
      <c r="A98" s="561" t="s">
        <v>616</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302"/>
      <c r="AH98" s="302"/>
      <c r="AI98" s="302"/>
      <c r="AJ98" s="302"/>
      <c r="AK98" s="302"/>
    </row>
    <row r="99" spans="1:37" customFormat="1" ht="15" customHeight="1">
      <c r="A99" s="561" t="s">
        <v>617</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302"/>
      <c r="AH99" s="302"/>
      <c r="AI99" s="302"/>
      <c r="AJ99" s="302"/>
      <c r="AK99" s="302"/>
    </row>
    <row r="100" spans="1:37" customFormat="1" ht="15" customHeight="1">
      <c r="A100" s="561" t="s">
        <v>618</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302"/>
      <c r="AH100" s="302"/>
      <c r="AI100" s="302"/>
      <c r="AJ100" s="302"/>
      <c r="AK100" s="302"/>
    </row>
    <row r="101" spans="1:37" customFormat="1" ht="15" customHeight="1">
      <c r="A101" s="561" t="s">
        <v>619</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302"/>
      <c r="AH101" s="302"/>
      <c r="AI101" s="302"/>
      <c r="AJ101" s="302"/>
      <c r="AK101" s="302"/>
    </row>
    <row r="102" spans="1:37" customFormat="1" ht="15" customHeight="1">
      <c r="A102" s="561" t="s">
        <v>620</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302"/>
      <c r="AH102" s="302"/>
      <c r="AI102" s="302"/>
      <c r="AJ102" s="302"/>
      <c r="AK102" s="302"/>
    </row>
    <row r="103" spans="1:37" customFormat="1" ht="15" customHeight="1">
      <c r="A103" s="561" t="s">
        <v>621</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302"/>
      <c r="AH103" s="302"/>
      <c r="AI103" s="302"/>
      <c r="AJ103" s="302"/>
      <c r="AK103" s="302"/>
    </row>
    <row r="104" spans="1:37" customFormat="1" ht="15" customHeight="1">
      <c r="A104" s="561" t="s">
        <v>622</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302"/>
      <c r="AH104" s="302"/>
      <c r="AI104" s="302"/>
      <c r="AJ104" s="302"/>
      <c r="AK104" s="302"/>
    </row>
    <row r="105" spans="1:37" customFormat="1" ht="15" customHeight="1">
      <c r="A105" s="561" t="s">
        <v>623</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302"/>
      <c r="AH105" s="302"/>
      <c r="AI105" s="302"/>
      <c r="AJ105" s="302"/>
      <c r="AK105" s="302"/>
    </row>
    <row r="106" spans="1:37" customFormat="1" ht="15" customHeight="1">
      <c r="A106" s="561" t="s">
        <v>624</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302"/>
      <c r="AH106" s="302"/>
      <c r="AI106" s="302"/>
      <c r="AJ106" s="302"/>
      <c r="AK106" s="302"/>
    </row>
    <row r="107" spans="1:37" customFormat="1" ht="15" customHeight="1">
      <c r="A107" s="561" t="s">
        <v>625</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302"/>
      <c r="AH107" s="302"/>
      <c r="AI107" s="302"/>
      <c r="AJ107" s="302"/>
      <c r="AK107" s="302"/>
    </row>
    <row r="108" spans="1:37" customFormat="1" ht="15" customHeight="1">
      <c r="A108" s="561" t="s">
        <v>626</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302"/>
      <c r="AH108" s="302"/>
      <c r="AI108" s="302"/>
      <c r="AJ108" s="302"/>
      <c r="AK108" s="302"/>
    </row>
    <row r="109" spans="1:37" customFormat="1" ht="15" customHeight="1">
      <c r="A109" s="561" t="s">
        <v>627</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302"/>
      <c r="AH109" s="302"/>
      <c r="AI109" s="302"/>
      <c r="AJ109" s="302"/>
      <c r="AK109" s="30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47" activePane="bottomRight" state="frozen"/>
      <selection activeCell="A10" sqref="A10"/>
      <selection pane="topRight" activeCell="C10" sqref="C10"/>
      <selection pane="bottomLeft" activeCell="A13" sqref="A13"/>
      <selection pane="bottomRight" activeCell="I185" sqref="I185"/>
    </sheetView>
  </sheetViews>
  <sheetFormatPr baseColWidth="10" defaultColWidth="8.83203125" defaultRowHeight="14" x14ac:dyDescent="0"/>
  <cols>
    <col min="1" max="1" width="43.83203125" customWidth="1"/>
    <col min="2" max="2" width="5.1640625" style="33" hidden="1" customWidth="1"/>
    <col min="3" max="5" width="11.1640625" style="332" customWidth="1"/>
    <col min="6" max="6" width="17" style="332" customWidth="1"/>
    <col min="7" max="7" width="15.5" style="332" customWidth="1"/>
    <col min="8" max="8" width="16.1640625" style="405"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3"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1" customWidth="1"/>
    <col min="35" max="35" width="20.6640625" bestFit="1" customWidth="1"/>
    <col min="36" max="36" width="15.33203125" bestFit="1" customWidth="1"/>
    <col min="37" max="37" width="13.33203125" bestFit="1" customWidth="1"/>
    <col min="38" max="38" width="13.83203125" customWidth="1"/>
  </cols>
  <sheetData>
    <row r="1" spans="1:38" hidden="1">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row>
    <row r="2" spans="1:38" hidden="1">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row>
    <row r="3" spans="1:38" hidden="1">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row>
    <row r="4" spans="1:38" hidden="1">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row>
    <row r="5" spans="1:38" hidden="1">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row>
    <row r="6" spans="1:38" hidden="1">
      <c r="A6" s="532"/>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row>
    <row r="7" spans="1:38" ht="23.25" hidden="1" customHeight="1">
      <c r="A7" s="532"/>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row>
    <row r="8" spans="1:38" s="160" customFormat="1" ht="15.75" hidden="1" customHeight="1">
      <c r="A8" s="532"/>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row>
    <row r="9" spans="1:38" ht="21" hidden="1" customHeight="1">
      <c r="A9" s="532"/>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row>
    <row r="10" spans="1:38">
      <c r="A10" t="s">
        <v>188</v>
      </c>
      <c r="B10" s="33" t="s">
        <v>127</v>
      </c>
      <c r="Y10" s="20"/>
      <c r="Z10" s="20"/>
      <c r="AA10" s="20"/>
      <c r="AB10" s="20"/>
      <c r="AC10" s="20"/>
      <c r="AD10" s="20"/>
      <c r="AE10" s="20"/>
      <c r="AF10" s="20"/>
      <c r="AG10" s="20"/>
      <c r="AH10" s="280"/>
    </row>
    <row r="11" spans="1:38" s="1" customFormat="1">
      <c r="B11" s="13"/>
      <c r="C11" s="333">
        <v>2009</v>
      </c>
      <c r="D11" s="333">
        <v>2010</v>
      </c>
      <c r="E11" s="333">
        <v>2011</v>
      </c>
      <c r="F11" s="333">
        <v>2012</v>
      </c>
      <c r="G11" s="333">
        <v>2013</v>
      </c>
      <c r="H11" s="406">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62</v>
      </c>
      <c r="B12" s="33"/>
      <c r="C12" s="333"/>
      <c r="D12" s="333"/>
      <c r="E12" s="333"/>
      <c r="F12" s="333"/>
      <c r="G12" s="333"/>
      <c r="H12" s="406"/>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80"/>
    </row>
    <row r="13" spans="1:38" s="20" customFormat="1">
      <c r="A13" s="20" t="s">
        <v>130</v>
      </c>
      <c r="B13" s="33"/>
      <c r="C13" s="335">
        <f>EIA_electricity_aeo2014!E58*1000</f>
        <v>71416.000000000015</v>
      </c>
      <c r="D13" s="335">
        <f>EIA_electricity_aeo2014!F58*1000</f>
        <v>74457</v>
      </c>
      <c r="E13" s="335">
        <f>EIA_electricity_aeo2014!G58*1000</f>
        <v>76293.364065392554</v>
      </c>
      <c r="F13" s="335">
        <f>EIA_electricity_aeo2014!H58*1000</f>
        <v>79190.798719775295</v>
      </c>
      <c r="G13" s="335">
        <f>EIA_electricity_aeo2014!I58*1000</f>
        <v>76322.718233177569</v>
      </c>
      <c r="H13" s="287">
        <f>EIA_electricity_aeo2014!J58*1000</f>
        <v>77091.629824424715</v>
      </c>
      <c r="I13" s="83">
        <f>EIA_electricity_aeo2014!K58*1000</f>
        <v>82350.845763249701</v>
      </c>
      <c r="J13" s="83">
        <f>EIA_electricity_aeo2014!L58*1000</f>
        <v>84934.533013139779</v>
      </c>
      <c r="K13" s="83">
        <f>EIA_electricity_aeo2014!M58*1000</f>
        <v>87494.566746146535</v>
      </c>
      <c r="L13" s="83">
        <f>EIA_electricity_aeo2014!N58*1000</f>
        <v>86878.246016829988</v>
      </c>
      <c r="M13" s="83">
        <f>EIA_electricity_aeo2014!O58*1000</f>
        <v>87584.737708573099</v>
      </c>
      <c r="N13" s="178">
        <f>EIA_electricity_aeo2014!P58*1000</f>
        <v>90219.131055163874</v>
      </c>
      <c r="O13" s="83">
        <f>EIA_electricity_aeo2014!Q58*1000</f>
        <v>91767.853967265648</v>
      </c>
      <c r="P13" s="83">
        <f>EIA_electricity_aeo2014!R58*1000</f>
        <v>94282.111550254878</v>
      </c>
      <c r="Q13" s="83">
        <f>EIA_electricity_aeo2014!S58*1000</f>
        <v>95129.758243386197</v>
      </c>
      <c r="R13" s="83">
        <f>EIA_electricity_aeo2014!T58*1000</f>
        <v>97328.94759851975</v>
      </c>
      <c r="S13" s="83">
        <f>EIA_electricity_aeo2014!U58*1000</f>
        <v>98583.533038249094</v>
      </c>
      <c r="T13" s="83">
        <f>EIA_electricity_aeo2014!V58*1000</f>
        <v>99309.667962477863</v>
      </c>
      <c r="U13" s="83">
        <f>EIA_electricity_aeo2014!W58*1000</f>
        <v>102783.89561538734</v>
      </c>
      <c r="V13" s="83">
        <f>EIA_electricity_aeo2014!X58*1000</f>
        <v>103896.19345171662</v>
      </c>
      <c r="W13" s="83">
        <f>EIA_electricity_aeo2014!Y58*1000</f>
        <v>106137.31139395847</v>
      </c>
      <c r="X13" s="185">
        <f>EIA_electricity_aeo2014!Z58*1000</f>
        <v>107892.79456637295</v>
      </c>
      <c r="Y13" s="175">
        <f>EIA_electricity_aeo2014!AA58*1000</f>
        <v>107812.93018236024</v>
      </c>
      <c r="Z13" s="175">
        <f>EIA_electricity_aeo2014!AB58*1000</f>
        <v>108387.35799686275</v>
      </c>
      <c r="AA13" s="175">
        <f>EIA_electricity_aeo2014!AC58*1000</f>
        <v>109501.01769888407</v>
      </c>
      <c r="AB13" s="175">
        <f>EIA_electricity_aeo2014!AD58*1000</f>
        <v>111404.17956071081</v>
      </c>
      <c r="AC13" s="175">
        <f>EIA_electricity_aeo2014!AE58*1000</f>
        <v>111946.92731426167</v>
      </c>
      <c r="AD13" s="175">
        <f>EIA_electricity_aeo2014!AF58*1000</f>
        <v>113025.37754525511</v>
      </c>
      <c r="AE13" s="175">
        <f>EIA_electricity_aeo2014!AG58*1000</f>
        <v>114361.93510848544</v>
      </c>
      <c r="AF13" s="175">
        <f>EIA_electricity_aeo2014!AH58*1000</f>
        <v>115681.38826358411</v>
      </c>
      <c r="AG13" s="175">
        <f>EIA_electricity_aeo2014!AI58*1000</f>
        <v>118911.35088705645</v>
      </c>
      <c r="AH13" s="185">
        <f>EIA_electricity_aeo2014!AJ58*1000</f>
        <v>121531.50109463718</v>
      </c>
      <c r="AI13" s="115">
        <f>X13/C13-1</f>
        <v>0.51076501857248968</v>
      </c>
      <c r="AJ13" s="166">
        <f>(1+AJ11)^21-1</f>
        <v>0.24007814276920247</v>
      </c>
      <c r="AK13" s="169">
        <f>(1+AK11)^21-1</f>
        <v>0.11389489977934208</v>
      </c>
      <c r="AL13" s="121"/>
    </row>
    <row r="14" spans="1:38" s="20" customFormat="1">
      <c r="A14" s="20" t="s">
        <v>131</v>
      </c>
      <c r="B14" s="33"/>
      <c r="C14" s="335">
        <f>EIA_electricity_aeo2014!E58 * 1000</f>
        <v>71416.000000000015</v>
      </c>
      <c r="D14" s="335">
        <f>IF(Inputs!$C$7="BAU",'Output -Jobs vs Yr'!D13,C14+($X$14-$C$14)/($X$11-$C$11) )</f>
        <v>74457</v>
      </c>
      <c r="E14" s="335">
        <f>IF(Inputs!$C$7="BAU",'Output -Jobs vs Yr'!E13,D14+($X$14-$C$14)/($X$11-$C$11) )</f>
        <v>76293.364065392554</v>
      </c>
      <c r="F14" s="335">
        <f>IF(Inputs!$C$7="BAU",'Output -Jobs vs Yr'!F13,E14+($X$14-$C$14)/($X$11-$C$11) )</f>
        <v>79190.798719775295</v>
      </c>
      <c r="G14" s="335">
        <f>IF(Inputs!$C$7="BAU",'Output -Jobs vs Yr'!G13,F14+($X$14-$C$14)/($X$11-$C$11) )</f>
        <v>76322.718233177569</v>
      </c>
      <c r="H14" s="287">
        <f>EIA_electricity_aeo2014!J58*1000</f>
        <v>77091.629824424715</v>
      </c>
      <c r="I14" s="83">
        <f>IF(Inputs!$C$7="BAU",'Output -Jobs vs Yr'!I13,H14+($X$14-$C$14)/($X$11-$C$11) )</f>
        <v>82350.845763249701</v>
      </c>
      <c r="J14" s="83">
        <f>IF(Inputs!$C$7="BAU",'Output -Jobs vs Yr'!J13,I14+($X$14-$C$14)/($X$11-$C$11) )</f>
        <v>84934.533013139779</v>
      </c>
      <c r="K14" s="83">
        <f>IF(Inputs!$C$7="BAU",'Output -Jobs vs Yr'!K13,J14+($X$14-$C$14)/($X$11-$C$11) )</f>
        <v>87494.566746146535</v>
      </c>
      <c r="L14" s="83">
        <f>IF(Inputs!$C$7="BAU",'Output -Jobs vs Yr'!L13,K14+($X$14-$C$14)/($X$11-$C$11) )</f>
        <v>86878.246016829988</v>
      </c>
      <c r="M14" s="83">
        <f>IF(Inputs!$C$7="BAU",'Output -Jobs vs Yr'!M13,L14+($X$14-$C$14)/($X$11-$C$11) )</f>
        <v>87584.737708573099</v>
      </c>
      <c r="N14" s="178">
        <f>IF(Inputs!$C$7="BAU",'Output -Jobs vs Yr'!N13,M14+($X$14-$C$14)/($X$11-$C$11) )</f>
        <v>90219.131055163874</v>
      </c>
      <c r="O14" s="83">
        <f>IF(Inputs!$C$7="BAU",'Output -Jobs vs Yr'!O13,N14+($X$14-$C$14)/($X$11-$C$11) )</f>
        <v>91767.853967265648</v>
      </c>
      <c r="P14" s="83">
        <f>IF(Inputs!$C$7="BAU",'Output -Jobs vs Yr'!P13,O14+($X$14-$C$14)/($X$11-$C$11) )</f>
        <v>94282.111550254878</v>
      </c>
      <c r="Q14" s="83">
        <f>IF(Inputs!$C$7="BAU",'Output -Jobs vs Yr'!Q13,P14+($X$14-$C$14)/($X$11-$C$11) )</f>
        <v>95129.758243386197</v>
      </c>
      <c r="R14" s="83">
        <f>IF(Inputs!$C$7="BAU",'Output -Jobs vs Yr'!R13,Q14+($X$14-$C$14)/($X$11-$C$11) )</f>
        <v>97328.94759851975</v>
      </c>
      <c r="S14" s="83">
        <f>IF(Inputs!$C$7="BAU",'Output -Jobs vs Yr'!S13,R14+($X$14-$C$14)/($X$11-$C$11) )</f>
        <v>98583.533038249094</v>
      </c>
      <c r="T14" s="83">
        <f>IF(Inputs!$C$7="BAU",'Output -Jobs vs Yr'!T13,S14+($X$14-$C$14)/($X$11-$C$11) )</f>
        <v>99309.667962477863</v>
      </c>
      <c r="U14" s="83">
        <f>IF(Inputs!$C$7="BAU",'Output -Jobs vs Yr'!U13,T14+($X$14-$C$14)/($X$11-$C$11) )</f>
        <v>102783.89561538734</v>
      </c>
      <c r="V14" s="83">
        <f>IF(Inputs!$C$7="BAU",'Output -Jobs vs Yr'!V13,U14+($X$14-$C$14)/($X$11-$C$11) )</f>
        <v>103896.19345171662</v>
      </c>
      <c r="W14" s="83">
        <f>IF(Inputs!$C$7="BAU",'Output -Jobs vs Yr'!W13,V14+($X$14-$C$14)/($X$11-$C$11) )</f>
        <v>106137.31139395847</v>
      </c>
      <c r="X14" s="185">
        <f>IF(Inputs!$C$7="BAU",'Output -Jobs vs Yr'!X13,C14*(1+Inputs!C7) )</f>
        <v>107892.79456637295</v>
      </c>
      <c r="Y14" s="175">
        <f>IF(Inputs!$C$7="BAU",'Output -Jobs vs Yr'!Y13,D14*(1+Inputs!D7) )</f>
        <v>107812.93018236024</v>
      </c>
      <c r="Z14" s="175">
        <f>IF(Inputs!$C$7="BAU",'Output -Jobs vs Yr'!Z13,E14*(1+Inputs!E7) )</f>
        <v>108387.35799686275</v>
      </c>
      <c r="AA14" s="175">
        <f>IF(Inputs!$C$7="BAU",'Output -Jobs vs Yr'!AA13,F14*(1+Inputs!F7) )</f>
        <v>109501.01769888407</v>
      </c>
      <c r="AB14" s="175">
        <f>IF(Inputs!$C$7="BAU",'Output -Jobs vs Yr'!AB13,G14*(1+Inputs!G7) )</f>
        <v>111404.17956071081</v>
      </c>
      <c r="AC14" s="175">
        <f>IF(Inputs!$C$7="BAU",'Output -Jobs vs Yr'!AC13,H14*(1+Inputs!H7) )</f>
        <v>111946.92731426167</v>
      </c>
      <c r="AD14" s="175">
        <f>IF(Inputs!$C$7="BAU",'Output -Jobs vs Yr'!AD13,I14*(1+Inputs!L7) )</f>
        <v>113025.37754525511</v>
      </c>
      <c r="AE14" s="175">
        <f>IF(Inputs!$C$7="BAU",'Output -Jobs vs Yr'!AE13,J14*(1+Inputs!M7) )</f>
        <v>114361.93510848544</v>
      </c>
      <c r="AF14" s="175">
        <f>IF(Inputs!$C$7="BAU",'Output -Jobs vs Yr'!AF13,K14*(1+Inputs!N7) )</f>
        <v>115681.38826358411</v>
      </c>
      <c r="AG14" s="175">
        <f>IF(Inputs!$C$7="BAU",'Output -Jobs vs Yr'!AG13,L14*(1+Inputs!O7) )</f>
        <v>118911.35088705645</v>
      </c>
      <c r="AH14" s="185">
        <f>IF(Inputs!$C$7="BAU",'Output -Jobs vs Yr'!AH13,M14*(1+Inputs!P7) )</f>
        <v>121531.50109463718</v>
      </c>
      <c r="AI14" s="99"/>
      <c r="AJ14" s="166" t="s">
        <v>0</v>
      </c>
      <c r="AK14" s="30" t="s">
        <v>0</v>
      </c>
      <c r="AL14" s="121"/>
    </row>
    <row r="15" spans="1:38" s="20" customFormat="1">
      <c r="A15" s="20" t="s">
        <v>208</v>
      </c>
      <c r="B15" s="33"/>
      <c r="C15" s="335">
        <f>C14-C13</f>
        <v>0</v>
      </c>
      <c r="D15" s="335">
        <f>D13-D14</f>
        <v>0</v>
      </c>
      <c r="E15" s="335">
        <f t="shared" ref="E15:AH15" si="0">E13-E14</f>
        <v>0</v>
      </c>
      <c r="F15" s="335">
        <f t="shared" si="0"/>
        <v>0</v>
      </c>
      <c r="G15" s="335">
        <f t="shared" si="0"/>
        <v>0</v>
      </c>
      <c r="H15" s="287">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85" customFormat="1">
      <c r="A16" s="385" t="s">
        <v>123</v>
      </c>
      <c r="B16" s="386"/>
      <c r="C16" s="387">
        <f t="shared" ref="C16:M16" si="1">C95</f>
        <v>3.3648062058922359E-2</v>
      </c>
      <c r="D16" s="387">
        <f t="shared" si="1"/>
        <v>3.9643460648252069E-2</v>
      </c>
      <c r="E16" s="387">
        <f t="shared" si="1"/>
        <v>4.777420781448441E-2</v>
      </c>
      <c r="F16" s="387">
        <f t="shared" si="1"/>
        <v>5.6785205066453889E-2</v>
      </c>
      <c r="G16" s="387">
        <f t="shared" si="1"/>
        <v>6.334049969799474E-2</v>
      </c>
      <c r="H16" s="387">
        <f t="shared" si="1"/>
        <v>3.8515415819821687E-2</v>
      </c>
      <c r="I16" s="387">
        <f t="shared" si="1"/>
        <v>4.4839579561216633E-2</v>
      </c>
      <c r="J16" s="387">
        <f t="shared" si="1"/>
        <v>5.2708500527187459E-2</v>
      </c>
      <c r="K16" s="387">
        <f t="shared" si="1"/>
        <v>6.1325432180328668E-2</v>
      </c>
      <c r="L16" s="387">
        <f t="shared" si="1"/>
        <v>7.2021071177073917E-2</v>
      </c>
      <c r="M16" s="387">
        <f t="shared" si="1"/>
        <v>8.47978529683657E-2</v>
      </c>
      <c r="N16" s="387">
        <f>Inputs!C11</f>
        <v>0.1</v>
      </c>
      <c r="O16" s="387">
        <f t="shared" ref="O16:W16" si="2">O95</f>
        <v>0.10553676568197458</v>
      </c>
      <c r="P16" s="387">
        <f t="shared" si="2"/>
        <v>0.11129161678684929</v>
      </c>
      <c r="Q16" s="387">
        <f t="shared" si="2"/>
        <v>0.11736101200481494</v>
      </c>
      <c r="R16" s="387">
        <f t="shared" si="2"/>
        <v>0.1237588756514387</v>
      </c>
      <c r="S16" s="387">
        <f t="shared" si="2"/>
        <v>0.13050577228688731</v>
      </c>
      <c r="T16" s="387">
        <f t="shared" si="2"/>
        <v>0.13762034675909021</v>
      </c>
      <c r="U16" s="387">
        <f t="shared" si="2"/>
        <v>0.14511826101931602</v>
      </c>
      <c r="V16" s="387">
        <f t="shared" si="2"/>
        <v>0.15302735406274051</v>
      </c>
      <c r="W16" s="387">
        <f t="shared" si="2"/>
        <v>0.16136522160595154</v>
      </c>
      <c r="X16" s="388">
        <f>Inputs!C12</f>
        <v>0.17</v>
      </c>
      <c r="Y16" s="389">
        <f>Y95</f>
        <v>0.17016695585556901</v>
      </c>
      <c r="Z16" s="389">
        <f t="shared" ref="Z16:AG16" si="3">Z95</f>
        <v>0.17017529719656557</v>
      </c>
      <c r="AA16" s="389">
        <f t="shared" si="3"/>
        <v>0.1701826467042982</v>
      </c>
      <c r="AB16" s="389">
        <f t="shared" si="3"/>
        <v>0.17018850280198469</v>
      </c>
      <c r="AC16" s="389">
        <f t="shared" si="3"/>
        <v>0.1701965216958411</v>
      </c>
      <c r="AD16" s="389">
        <f t="shared" si="3"/>
        <v>0.17020349412228938</v>
      </c>
      <c r="AE16" s="389">
        <f t="shared" si="3"/>
        <v>0.17020986003758359</v>
      </c>
      <c r="AF16" s="389">
        <f t="shared" si="3"/>
        <v>0.17021611082279747</v>
      </c>
      <c r="AG16" s="389">
        <f t="shared" si="3"/>
        <v>0.17021865027859867</v>
      </c>
      <c r="AH16" s="388">
        <f>Inputs!C13</f>
        <v>0.17</v>
      </c>
      <c r="AI16" s="390" t="s">
        <v>0</v>
      </c>
      <c r="AJ16" s="391"/>
      <c r="AK16" s="392"/>
      <c r="AL16" s="393"/>
    </row>
    <row r="17" spans="1:37" s="282" customFormat="1">
      <c r="A17" s="282" t="s">
        <v>115</v>
      </c>
      <c r="B17" s="283"/>
      <c r="C17" s="342"/>
      <c r="D17" s="337">
        <f>D16/C16-1</f>
        <v>0.1781796104284088</v>
      </c>
      <c r="E17" s="337">
        <f t="shared" ref="E17:M17" si="4">E16/D16-1</f>
        <v>0.20509680621413762</v>
      </c>
      <c r="F17" s="337">
        <f t="shared" si="4"/>
        <v>0.18861636150955663</v>
      </c>
      <c r="G17" s="337">
        <f t="shared" si="4"/>
        <v>0.11544018594049987</v>
      </c>
      <c r="H17" s="285"/>
      <c r="I17" s="285">
        <f t="shared" si="4"/>
        <v>0.16419824651458814</v>
      </c>
      <c r="J17" s="285">
        <f t="shared" si="4"/>
        <v>0.17549051625758194</v>
      </c>
      <c r="K17" s="285">
        <f t="shared" si="4"/>
        <v>0.16348276970422493</v>
      </c>
      <c r="L17" s="285">
        <f t="shared" si="4"/>
        <v>0.17440788619792369</v>
      </c>
      <c r="M17" s="285">
        <f t="shared" si="4"/>
        <v>0.17740338462723315</v>
      </c>
      <c r="N17" s="285">
        <f>N16/M16-1</f>
        <v>0.17927514081406692</v>
      </c>
      <c r="O17" s="285">
        <f>O16/N16-1</f>
        <v>5.5367656819745648E-2</v>
      </c>
      <c r="P17" s="285">
        <f t="shared" ref="P17:X17" si="5">P16/O16-1</f>
        <v>5.4529348778949993E-2</v>
      </c>
      <c r="Q17" s="285">
        <f t="shared" si="5"/>
        <v>5.4535960508059089E-2</v>
      </c>
      <c r="R17" s="285">
        <f t="shared" si="5"/>
        <v>5.4514387165997436E-2</v>
      </c>
      <c r="S17" s="285">
        <f t="shared" si="5"/>
        <v>5.4516466798316232E-2</v>
      </c>
      <c r="T17" s="285">
        <f t="shared" si="5"/>
        <v>5.451540071777905E-2</v>
      </c>
      <c r="U17" s="285">
        <f t="shared" si="5"/>
        <v>5.4482599679473331E-2</v>
      </c>
      <c r="V17" s="285">
        <f t="shared" si="5"/>
        <v>5.450101860283274E-2</v>
      </c>
      <c r="W17" s="285">
        <f t="shared" si="5"/>
        <v>5.4486125008686548E-2</v>
      </c>
      <c r="X17" s="284">
        <f t="shared" si="5"/>
        <v>5.351077703183349E-2</v>
      </c>
      <c r="Y17" s="289">
        <v>2.9000000000000001E-2</v>
      </c>
      <c r="Z17" s="289">
        <v>2.9000000000000001E-2</v>
      </c>
      <c r="AA17" s="289">
        <v>2.9000000000000001E-2</v>
      </c>
      <c r="AB17" s="289">
        <v>2.9000000000000001E-2</v>
      </c>
      <c r="AC17" s="289">
        <v>2.9000000000000001E-2</v>
      </c>
      <c r="AD17" s="289">
        <v>2.9000000000000001E-2</v>
      </c>
      <c r="AE17" s="289">
        <v>2.9000000000000001E-2</v>
      </c>
      <c r="AF17" s="289">
        <v>2.9000000000000001E-2</v>
      </c>
      <c r="AG17" s="289">
        <v>2.9000000000000001E-2</v>
      </c>
      <c r="AH17" s="378">
        <v>2.9000000000000001E-2</v>
      </c>
    </row>
    <row r="18" spans="1:37" s="20" customFormat="1">
      <c r="A18" s="20" t="s">
        <v>135</v>
      </c>
      <c r="B18" s="33"/>
      <c r="C18" s="337">
        <f>C32/C14</f>
        <v>0.39503752660468233</v>
      </c>
      <c r="D18" s="337">
        <f t="shared" ref="D18:G18" si="6">($N$18-$C$18)/($N$11-$C$11)+C18</f>
        <v>0.39135479453725447</v>
      </c>
      <c r="E18" s="337">
        <f t="shared" si="6"/>
        <v>0.38767206246982661</v>
      </c>
      <c r="F18" s="337">
        <f t="shared" si="6"/>
        <v>0.38398933040239874</v>
      </c>
      <c r="G18" s="337">
        <f t="shared" si="6"/>
        <v>0.38030659833497088</v>
      </c>
      <c r="H18" s="285">
        <f>H32/H14</f>
        <v>0.35092313970548333</v>
      </c>
      <c r="I18" s="173">
        <f>($N$18-$H$18)/($N$11-$H$11)+H18</f>
        <v>0.35152386206506542</v>
      </c>
      <c r="J18" s="173">
        <f t="shared" ref="J18:M18" si="7">($N$18-$H$18)/($N$11-$H$11)+I18</f>
        <v>0.3521245844246475</v>
      </c>
      <c r="K18" s="173">
        <f t="shared" si="7"/>
        <v>0.35272530678422959</v>
      </c>
      <c r="L18" s="173">
        <f t="shared" si="7"/>
        <v>0.35332602914381167</v>
      </c>
      <c r="M18" s="173">
        <f t="shared" si="7"/>
        <v>0.35392675150339376</v>
      </c>
      <c r="N18" s="181">
        <f>Inputs!C36</f>
        <v>0.35452747386297584</v>
      </c>
      <c r="O18" s="91">
        <f t="shared" ref="O18:W18" si="8">($X$18-$N$18)/($X$11-$N$11)+N18</f>
        <v>0.34872004639966353</v>
      </c>
      <c r="P18" s="91">
        <f t="shared" si="8"/>
        <v>0.34291261893635122</v>
      </c>
      <c r="Q18" s="91">
        <f t="shared" si="8"/>
        <v>0.33710519147303891</v>
      </c>
      <c r="R18" s="91">
        <f t="shared" si="8"/>
        <v>0.3312977640097266</v>
      </c>
      <c r="S18" s="22">
        <f t="shared" si="8"/>
        <v>0.32549033654641429</v>
      </c>
      <c r="T18" s="91">
        <f t="shared" si="8"/>
        <v>0.31968290908310198</v>
      </c>
      <c r="U18" s="91">
        <f t="shared" si="8"/>
        <v>0.31387548161978968</v>
      </c>
      <c r="V18" s="91">
        <f t="shared" si="8"/>
        <v>0.30806805415647737</v>
      </c>
      <c r="W18" s="91">
        <f t="shared" si="8"/>
        <v>0.30226062669316506</v>
      </c>
      <c r="X18" s="186">
        <f>Inputs!F36</f>
        <v>0.29645319922985297</v>
      </c>
      <c r="Y18" s="173">
        <f>($AH$18-$X$18)/($AH$11-$X$11)+X18</f>
        <v>0.29346722614109966</v>
      </c>
      <c r="Z18" s="173">
        <f t="shared" ref="Z18:AG18" si="9">($AH$18-$X$18)/($AH$11-$X$11)+Y18</f>
        <v>0.29048125305234634</v>
      </c>
      <c r="AA18" s="173">
        <f t="shared" si="9"/>
        <v>0.28749527996359303</v>
      </c>
      <c r="AB18" s="173">
        <f t="shared" si="9"/>
        <v>0.28450930687483972</v>
      </c>
      <c r="AC18" s="173">
        <f t="shared" si="9"/>
        <v>0.2815233337860864</v>
      </c>
      <c r="AD18" s="173">
        <f t="shared" si="9"/>
        <v>0.27853736069733309</v>
      </c>
      <c r="AE18" s="173">
        <f t="shared" si="9"/>
        <v>0.27555138760857978</v>
      </c>
      <c r="AF18" s="173">
        <f t="shared" si="9"/>
        <v>0.27256541451982647</v>
      </c>
      <c r="AG18" s="173">
        <f t="shared" si="9"/>
        <v>0.26957944143107315</v>
      </c>
      <c r="AH18" s="186">
        <f>Inputs!H36</f>
        <v>0.26659346834232006</v>
      </c>
      <c r="AK18"/>
    </row>
    <row r="19" spans="1:37" s="282" customFormat="1">
      <c r="A19" s="282" t="s">
        <v>114</v>
      </c>
      <c r="B19" s="286"/>
      <c r="C19" s="335">
        <f t="shared" ref="C19:AH19" si="10">C16*C14</f>
        <v>2403.0099999999998</v>
      </c>
      <c r="D19" s="335">
        <f t="shared" si="10"/>
        <v>2951.733149486904</v>
      </c>
      <c r="E19" s="335">
        <f t="shared" si="10"/>
        <v>3644.8550297261809</v>
      </c>
      <c r="F19" s="335">
        <f t="shared" si="10"/>
        <v>4496.8657446787147</v>
      </c>
      <c r="G19" s="335">
        <f t="shared" si="10"/>
        <v>4834.3191111987217</v>
      </c>
      <c r="H19" s="287">
        <f t="shared" si="10"/>
        <v>2969.2161789154852</v>
      </c>
      <c r="I19" s="287">
        <f t="shared" si="10"/>
        <v>3692.5773005347146</v>
      </c>
      <c r="J19" s="287">
        <f t="shared" si="10"/>
        <v>4476.7718780994983</v>
      </c>
      <c r="K19" s="287">
        <f t="shared" si="10"/>
        <v>5365.6421191380496</v>
      </c>
      <c r="L19" s="287">
        <f t="shared" si="10"/>
        <v>6257.0643401174511</v>
      </c>
      <c r="M19" s="287">
        <f t="shared" si="10"/>
        <v>7426.9977104844565</v>
      </c>
      <c r="N19" s="288">
        <f t="shared" si="10"/>
        <v>9021.9131055163871</v>
      </c>
      <c r="O19" s="287">
        <f t="shared" si="10"/>
        <v>9684.8825012809757</v>
      </c>
      <c r="P19" s="287">
        <f t="shared" si="10"/>
        <v>10492.808628505943</v>
      </c>
      <c r="Q19" s="287">
        <f t="shared" si="10"/>
        <v>11164.524699217191</v>
      </c>
      <c r="R19" s="287">
        <f t="shared" si="10"/>
        <v>12045.3211231306</v>
      </c>
      <c r="S19" s="287">
        <f t="shared" si="10"/>
        <v>12865.720113926569</v>
      </c>
      <c r="T19" s="287">
        <f t="shared" si="10"/>
        <v>13667.030941526315</v>
      </c>
      <c r="U19" s="287">
        <f t="shared" si="10"/>
        <v>14915.820192495912</v>
      </c>
      <c r="V19" s="287">
        <f t="shared" si="10"/>
        <v>15898.959581106821</v>
      </c>
      <c r="W19" s="287">
        <f t="shared" si="10"/>
        <v>17126.870773745995</v>
      </c>
      <c r="X19" s="288">
        <f>Inputs!C12*'Output -Jobs vs Yr'!X14</f>
        <v>18341.775076283404</v>
      </c>
      <c r="Y19" s="287">
        <f t="shared" si="10"/>
        <v>18346.198131001238</v>
      </c>
      <c r="Z19" s="287">
        <f t="shared" si="10"/>
        <v>18444.850859466667</v>
      </c>
      <c r="AA19" s="287">
        <f t="shared" si="10"/>
        <v>18635.173008810292</v>
      </c>
      <c r="AB19" s="287">
        <f t="shared" si="10"/>
        <v>18959.710525320836</v>
      </c>
      <c r="AC19" s="287">
        <f t="shared" si="10"/>
        <v>19052.977643424481</v>
      </c>
      <c r="AD19" s="287">
        <f t="shared" si="10"/>
        <v>19237.314182693364</v>
      </c>
      <c r="AE19" s="287">
        <f t="shared" si="10"/>
        <v>19465.528968442526</v>
      </c>
      <c r="AF19" s="287">
        <f t="shared" si="10"/>
        <v>19690.836004809298</v>
      </c>
      <c r="AG19" s="287">
        <f t="shared" si="10"/>
        <v>20240.929650799597</v>
      </c>
      <c r="AH19" s="288">
        <f t="shared" si="10"/>
        <v>20660.35518608832</v>
      </c>
    </row>
    <row r="20" spans="1:37" s="20" customFormat="1">
      <c r="A20" s="20" t="s">
        <v>211</v>
      </c>
      <c r="B20" s="33"/>
      <c r="C20" s="335">
        <f>'Output - Jobs vs Yr (BAU)'!C18</f>
        <v>2403.0100000000002</v>
      </c>
      <c r="D20" s="335">
        <f>'Output - Jobs vs Yr (BAU)'!D18</f>
        <v>2206.0100000000002</v>
      </c>
      <c r="E20" s="335">
        <f>'Output - Jobs vs Yr (BAU)'!E18</f>
        <v>2695.3263384030674</v>
      </c>
      <c r="F20" s="335">
        <f>'Output - Jobs vs Yr (BAU)'!F18</f>
        <v>2966.6947849372777</v>
      </c>
      <c r="G20" s="335">
        <f>'Output - Jobs vs Yr (BAU)'!G18</f>
        <v>2886.8501710639771</v>
      </c>
      <c r="H20" s="287">
        <f>'Output - Jobs vs Yr (BAU)'!H18</f>
        <v>2968.2161789154843</v>
      </c>
      <c r="I20" s="83">
        <f>'Output - Jobs vs Yr (BAU)'!I18</f>
        <v>3012.7390766307085</v>
      </c>
      <c r="J20" s="83">
        <f>'Output - Jobs vs Yr (BAU)'!J18</f>
        <v>4255.8857706564431</v>
      </c>
      <c r="K20" s="83">
        <f>'Output - Jobs vs Yr (BAU)'!K18</f>
        <v>3906.5391994804017</v>
      </c>
      <c r="L20" s="83">
        <f>'Output - Jobs vs Yr (BAU)'!L18</f>
        <v>4002.8233685560558</v>
      </c>
      <c r="M20" s="83">
        <f>'Output - Jobs vs Yr (BAU)'!M18</f>
        <v>4369.4805926841073</v>
      </c>
      <c r="N20" s="178">
        <f>'Output - Jobs vs Yr (BAU)'!N18</f>
        <v>5329.8419874357933</v>
      </c>
      <c r="O20" s="83">
        <f>'Output - Jobs vs Yr (BAU)'!O18</f>
        <v>6810.7950219749655</v>
      </c>
      <c r="P20" s="83">
        <f>'Output - Jobs vs Yr (BAU)'!P18</f>
        <v>6924.7345930488236</v>
      </c>
      <c r="Q20" s="83">
        <f>'Output - Jobs vs Yr (BAU)'!Q18</f>
        <v>7154.1630129789028</v>
      </c>
      <c r="R20" s="83">
        <f>'Output - Jobs vs Yr (BAU)'!R18</f>
        <v>7192.006739640382</v>
      </c>
      <c r="S20" s="83">
        <f>'Output - Jobs vs Yr (BAU)'!S18</f>
        <v>7249.3729782133551</v>
      </c>
      <c r="T20" s="83">
        <f>'Output - Jobs vs Yr (BAU)'!T18</f>
        <v>7254.7093049941468</v>
      </c>
      <c r="U20" s="83">
        <f>'Output - Jobs vs Yr (BAU)'!U18</f>
        <v>7199.8279898066949</v>
      </c>
      <c r="V20" s="83">
        <f>'Output - Jobs vs Yr (BAU)'!V18</f>
        <v>7227.2315485179261</v>
      </c>
      <c r="W20" s="83">
        <f>'Output - Jobs vs Yr (BAU)'!W18</f>
        <v>7248.6551985522119</v>
      </c>
      <c r="X20" s="185">
        <f>'Output - Jobs vs Yr (BAU)'!X18</f>
        <v>7192.927353191717</v>
      </c>
      <c r="Y20" s="175">
        <f>'Output - Jobs vs Yr (BAU)'!Y18</f>
        <v>7227.0094033104997</v>
      </c>
      <c r="Z20" s="175">
        <f>'Output - Jobs vs Yr (BAU)'!Z18</f>
        <v>7206.3349199897839</v>
      </c>
      <c r="AA20" s="175">
        <f>'Output - Jobs vs Yr (BAU)'!AA18</f>
        <v>7216.3139406862792</v>
      </c>
      <c r="AB20" s="175">
        <f>'Output - Jobs vs Yr (BAU)'!AB18</f>
        <v>7258.657064544117</v>
      </c>
      <c r="AC20" s="175">
        <f>'Output - Jobs vs Yr (BAU)'!AC18</f>
        <v>7285.7583190917458</v>
      </c>
      <c r="AD20" s="175">
        <f>'Output - Jobs vs Yr (BAU)'!AD18</f>
        <v>7320.597680514381</v>
      </c>
      <c r="AE20" s="175">
        <f>'Output - Jobs vs Yr (BAU)'!AE18</f>
        <v>7349.982603110202</v>
      </c>
      <c r="AF20" s="175">
        <f>'Output - Jobs vs Yr (BAU)'!AF18</f>
        <v>7338.8619141917752</v>
      </c>
      <c r="AG20" s="175">
        <f>'Output - Jobs vs Yr (BAU)'!AG18</f>
        <v>7371.4728830450695</v>
      </c>
      <c r="AH20" s="185">
        <f>'Output - Jobs vs Yr (BAU)'!AH18</f>
        <v>7399.420821554213</v>
      </c>
    </row>
    <row r="21" spans="1:37" s="20" customFormat="1">
      <c r="A21" s="20" t="s">
        <v>116</v>
      </c>
      <c r="B21" s="33"/>
      <c r="C21" s="335">
        <f t="shared" ref="C21:AH21" si="11">MAX(C19:C20)</f>
        <v>2403.0100000000002</v>
      </c>
      <c r="D21" s="335">
        <f t="shared" si="11"/>
        <v>2951.733149486904</v>
      </c>
      <c r="E21" s="335">
        <f t="shared" si="11"/>
        <v>3644.8550297261809</v>
      </c>
      <c r="F21" s="335">
        <f t="shared" si="11"/>
        <v>4496.8657446787147</v>
      </c>
      <c r="G21" s="335">
        <f t="shared" si="11"/>
        <v>4834.3191111987217</v>
      </c>
      <c r="H21" s="287">
        <f t="shared" si="11"/>
        <v>2969.2161789154852</v>
      </c>
      <c r="I21" s="83">
        <f t="shared" si="11"/>
        <v>3692.5773005347146</v>
      </c>
      <c r="J21" s="83">
        <f t="shared" si="11"/>
        <v>4476.7718780994983</v>
      </c>
      <c r="K21" s="83">
        <f t="shared" si="11"/>
        <v>5365.6421191380496</v>
      </c>
      <c r="L21" s="83">
        <f t="shared" si="11"/>
        <v>6257.0643401174511</v>
      </c>
      <c r="M21" s="83">
        <f t="shared" si="11"/>
        <v>7426.9977104844565</v>
      </c>
      <c r="N21" s="178">
        <f t="shared" si="11"/>
        <v>9021.9131055163871</v>
      </c>
      <c r="O21" s="83">
        <f t="shared" si="11"/>
        <v>9684.8825012809757</v>
      </c>
      <c r="P21" s="83">
        <f t="shared" si="11"/>
        <v>10492.808628505943</v>
      </c>
      <c r="Q21" s="83">
        <f t="shared" si="11"/>
        <v>11164.524699217191</v>
      </c>
      <c r="R21" s="83">
        <f t="shared" si="11"/>
        <v>12045.3211231306</v>
      </c>
      <c r="S21" s="83">
        <f t="shared" si="11"/>
        <v>12865.720113926569</v>
      </c>
      <c r="T21" s="83">
        <f t="shared" si="11"/>
        <v>13667.030941526315</v>
      </c>
      <c r="U21" s="83">
        <f t="shared" si="11"/>
        <v>14915.820192495912</v>
      </c>
      <c r="V21" s="83">
        <f t="shared" si="11"/>
        <v>15898.959581106821</v>
      </c>
      <c r="W21" s="83">
        <f t="shared" si="11"/>
        <v>17126.870773745995</v>
      </c>
      <c r="X21" s="185">
        <f t="shared" si="11"/>
        <v>18341.775076283404</v>
      </c>
      <c r="Y21" s="175">
        <f t="shared" si="11"/>
        <v>18346.198131001238</v>
      </c>
      <c r="Z21" s="175">
        <f t="shared" si="11"/>
        <v>18444.850859466667</v>
      </c>
      <c r="AA21" s="175">
        <f t="shared" si="11"/>
        <v>18635.173008810292</v>
      </c>
      <c r="AB21" s="175">
        <f t="shared" si="11"/>
        <v>18959.710525320836</v>
      </c>
      <c r="AC21" s="175">
        <f t="shared" si="11"/>
        <v>19052.977643424481</v>
      </c>
      <c r="AD21" s="175">
        <f t="shared" si="11"/>
        <v>19237.314182693364</v>
      </c>
      <c r="AE21" s="175">
        <f t="shared" si="11"/>
        <v>19465.528968442526</v>
      </c>
      <c r="AF21" s="175">
        <f t="shared" si="11"/>
        <v>19690.836004809298</v>
      </c>
      <c r="AG21" s="175">
        <f t="shared" si="11"/>
        <v>20240.929650799597</v>
      </c>
      <c r="AH21" s="185">
        <f t="shared" si="11"/>
        <v>20660.35518608832</v>
      </c>
      <c r="AI21" s="99"/>
    </row>
    <row r="22" spans="1:37" s="20" customFormat="1">
      <c r="A22" s="20" t="s">
        <v>379</v>
      </c>
      <c r="B22" s="33"/>
      <c r="C22" s="335" t="s">
        <v>0</v>
      </c>
      <c r="D22" s="335"/>
      <c r="E22" s="335"/>
      <c r="F22" s="335"/>
      <c r="G22" s="335"/>
      <c r="H22" s="287"/>
      <c r="I22" s="83"/>
      <c r="J22" s="83"/>
      <c r="K22" s="83"/>
      <c r="L22" s="83"/>
      <c r="M22" s="83"/>
      <c r="N22" s="178"/>
      <c r="O22" s="83"/>
      <c r="P22" s="83"/>
      <c r="Q22" s="83"/>
      <c r="R22" s="83"/>
      <c r="S22" s="83"/>
      <c r="T22" s="83"/>
      <c r="U22" s="83"/>
      <c r="V22" s="83"/>
      <c r="W22" s="174" t="s">
        <v>0</v>
      </c>
      <c r="X22" s="185"/>
      <c r="Y22"/>
      <c r="Z22"/>
      <c r="AA22"/>
      <c r="AB22"/>
      <c r="AC22"/>
      <c r="AD22"/>
      <c r="AE22"/>
      <c r="AF22"/>
      <c r="AG22"/>
      <c r="AH22" s="281"/>
      <c r="AI22" s="99"/>
    </row>
    <row r="23" spans="1:37" s="20" customFormat="1">
      <c r="A23" t="s">
        <v>538</v>
      </c>
      <c r="B23" s="33"/>
      <c r="C23" s="335">
        <v>0</v>
      </c>
      <c r="D23" s="337">
        <f t="shared" ref="D23:G23" si="12">C23+($N$23-$C$23)/($N$11-$C$11)</f>
        <v>0</v>
      </c>
      <c r="E23" s="337">
        <f t="shared" si="12"/>
        <v>0</v>
      </c>
      <c r="F23" s="337">
        <f t="shared" si="12"/>
        <v>0</v>
      </c>
      <c r="G23" s="337">
        <f t="shared" si="12"/>
        <v>0</v>
      </c>
      <c r="H23" s="287">
        <v>0</v>
      </c>
      <c r="I23" s="91">
        <f>H23+($N$23-$H$23)/($N$11-$H$11)</f>
        <v>0</v>
      </c>
      <c r="J23" s="173">
        <f t="shared" ref="J23:M23" si="13">I23+($N$23-$H$23)/($N$11-$H$11)</f>
        <v>0</v>
      </c>
      <c r="K23" s="173">
        <f t="shared" si="13"/>
        <v>0</v>
      </c>
      <c r="L23" s="173">
        <f t="shared" si="13"/>
        <v>0</v>
      </c>
      <c r="M23" s="173">
        <f t="shared" si="13"/>
        <v>0</v>
      </c>
      <c r="N23" s="181">
        <f>Inputs!C34</f>
        <v>0</v>
      </c>
      <c r="O23" s="173">
        <f>N23+($X$23-$N$23)/($X$11-$N$11)</f>
        <v>0</v>
      </c>
      <c r="P23" s="173">
        <f t="shared" ref="P23:W23" si="14">O23+($X$23-$N$23)/($X$11-$N$11)</f>
        <v>0</v>
      </c>
      <c r="Q23" s="173">
        <f t="shared" si="14"/>
        <v>0</v>
      </c>
      <c r="R23" s="173">
        <f t="shared" si="14"/>
        <v>0</v>
      </c>
      <c r="S23" s="173">
        <f t="shared" si="14"/>
        <v>0</v>
      </c>
      <c r="T23" s="173">
        <f t="shared" si="14"/>
        <v>0</v>
      </c>
      <c r="U23" s="173">
        <f t="shared" si="14"/>
        <v>0</v>
      </c>
      <c r="V23" s="173">
        <f t="shared" si="14"/>
        <v>0</v>
      </c>
      <c r="W23" s="173">
        <f t="shared" si="14"/>
        <v>0</v>
      </c>
      <c r="X23" s="186">
        <f>Inputs!F34</f>
        <v>0</v>
      </c>
      <c r="Y23" s="173">
        <f>X23+($AH$23-$X$23)/($AH$11-$X$11)</f>
        <v>0</v>
      </c>
      <c r="Z23" s="173">
        <f t="shared" ref="Z23:AG23" si="15">Y23+($AH$23-$X$23)/($AH$11-$X$11)</f>
        <v>0</v>
      </c>
      <c r="AA23" s="173">
        <f t="shared" si="15"/>
        <v>0</v>
      </c>
      <c r="AB23" s="173">
        <f t="shared" si="15"/>
        <v>0</v>
      </c>
      <c r="AC23" s="173">
        <f t="shared" si="15"/>
        <v>0</v>
      </c>
      <c r="AD23" s="173">
        <f t="shared" si="15"/>
        <v>0</v>
      </c>
      <c r="AE23" s="173">
        <f t="shared" si="15"/>
        <v>0</v>
      </c>
      <c r="AF23" s="173">
        <f t="shared" si="15"/>
        <v>0</v>
      </c>
      <c r="AG23" s="173">
        <f t="shared" si="15"/>
        <v>0</v>
      </c>
      <c r="AH23" s="186">
        <f>Inputs!H34</f>
        <v>0</v>
      </c>
      <c r="AI23" s="99"/>
    </row>
    <row r="24" spans="1:37" s="20" customFormat="1">
      <c r="A24" t="s">
        <v>539</v>
      </c>
      <c r="B24" s="33"/>
      <c r="C24" s="335">
        <v>0</v>
      </c>
      <c r="D24" s="337">
        <f t="shared" ref="D24:G24" si="16">C24+($N$24-$C$24)/($N$11-$C$11)</f>
        <v>0</v>
      </c>
      <c r="E24" s="337">
        <f t="shared" si="16"/>
        <v>0</v>
      </c>
      <c r="F24" s="337">
        <f t="shared" si="16"/>
        <v>0</v>
      </c>
      <c r="G24" s="337">
        <f t="shared" si="16"/>
        <v>0</v>
      </c>
      <c r="H24" s="109">
        <v>0</v>
      </c>
      <c r="I24" s="173">
        <f>H24+($N$24-$H$24)/($N$11-$H$11)</f>
        <v>0</v>
      </c>
      <c r="J24" s="173">
        <f t="shared" ref="J24:M24" si="17">I24+($N$24-$H$24)/($N$11-$H$11)</f>
        <v>0</v>
      </c>
      <c r="K24" s="173">
        <f t="shared" si="17"/>
        <v>0</v>
      </c>
      <c r="L24" s="173">
        <f t="shared" si="17"/>
        <v>0</v>
      </c>
      <c r="M24" s="173">
        <f t="shared" si="17"/>
        <v>0</v>
      </c>
      <c r="N24" s="186">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6">
        <f>Inputs!F34</f>
        <v>0</v>
      </c>
      <c r="Y24" s="173">
        <f>X$24+($AH$24-$X$24)/($AH$11-$X$11)</f>
        <v>0</v>
      </c>
      <c r="Z24" s="173">
        <f t="shared" ref="Z24:AG24" si="19">Y$24+($AH$24-$X$24)/($AH$11-$X$11)</f>
        <v>0</v>
      </c>
      <c r="AA24" s="173">
        <f t="shared" si="19"/>
        <v>0</v>
      </c>
      <c r="AB24" s="173">
        <f t="shared" si="19"/>
        <v>0</v>
      </c>
      <c r="AC24" s="173">
        <f t="shared" si="19"/>
        <v>0</v>
      </c>
      <c r="AD24" s="173">
        <f t="shared" si="19"/>
        <v>0</v>
      </c>
      <c r="AE24" s="173">
        <f t="shared" si="19"/>
        <v>0</v>
      </c>
      <c r="AF24" s="173">
        <f t="shared" si="19"/>
        <v>0</v>
      </c>
      <c r="AG24" s="173">
        <f t="shared" si="19"/>
        <v>0</v>
      </c>
      <c r="AH24" s="186">
        <f>Inputs!H34</f>
        <v>0</v>
      </c>
      <c r="AI24" s="99"/>
    </row>
    <row r="25" spans="1:37" s="20" customFormat="1">
      <c r="A25" t="s">
        <v>540</v>
      </c>
      <c r="B25" s="33"/>
      <c r="C25" s="335"/>
      <c r="D25" s="337">
        <f t="shared" ref="D25:AH25" si="20">D30/(D30+D47)</f>
        <v>0</v>
      </c>
      <c r="E25" s="337">
        <f t="shared" si="20"/>
        <v>0</v>
      </c>
      <c r="F25" s="337">
        <f t="shared" si="20"/>
        <v>0</v>
      </c>
      <c r="G25" s="337">
        <f t="shared" si="20"/>
        <v>0</v>
      </c>
      <c r="H25" s="285"/>
      <c r="I25" s="125">
        <f t="shared" si="20"/>
        <v>0</v>
      </c>
      <c r="J25" s="125">
        <f t="shared" si="20"/>
        <v>0</v>
      </c>
      <c r="K25" s="125">
        <f t="shared" si="20"/>
        <v>0</v>
      </c>
      <c r="L25" s="125">
        <f t="shared" si="20"/>
        <v>0</v>
      </c>
      <c r="M25" s="125">
        <f t="shared" si="20"/>
        <v>0</v>
      </c>
      <c r="N25" s="181">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6">
        <f t="shared" si="20"/>
        <v>0</v>
      </c>
      <c r="Y25" s="173">
        <f t="shared" si="20"/>
        <v>0</v>
      </c>
      <c r="Z25" s="173">
        <f t="shared" si="20"/>
        <v>0</v>
      </c>
      <c r="AA25" s="173">
        <f t="shared" si="20"/>
        <v>0</v>
      </c>
      <c r="AB25" s="173">
        <f t="shared" si="20"/>
        <v>0</v>
      </c>
      <c r="AC25" s="173">
        <f t="shared" si="20"/>
        <v>0</v>
      </c>
      <c r="AD25" s="173">
        <f t="shared" si="20"/>
        <v>0</v>
      </c>
      <c r="AE25" s="173">
        <f t="shared" si="20"/>
        <v>0</v>
      </c>
      <c r="AF25" s="173">
        <f t="shared" si="20"/>
        <v>0</v>
      </c>
      <c r="AG25" s="173">
        <f t="shared" si="20"/>
        <v>0</v>
      </c>
      <c r="AH25" s="186">
        <f t="shared" si="20"/>
        <v>0</v>
      </c>
      <c r="AI25" s="99"/>
    </row>
    <row r="26" spans="1:37" s="20" customFormat="1">
      <c r="A26" s="20" t="s">
        <v>382</v>
      </c>
      <c r="B26" s="33"/>
      <c r="C26" s="337">
        <f>C31/C14</f>
        <v>2.070950487285762E-2</v>
      </c>
      <c r="D26" s="337">
        <f t="shared" ref="D26:G26" si="21">C26+($N$26-$C$26)/($N$11-$C$11)</f>
        <v>2.0479354055578745E-2</v>
      </c>
      <c r="E26" s="337">
        <f t="shared" si="21"/>
        <v>2.024920323829987E-2</v>
      </c>
      <c r="F26" s="337">
        <f t="shared" si="21"/>
        <v>2.0019052421020995E-2</v>
      </c>
      <c r="G26" s="337">
        <f t="shared" si="21"/>
        <v>1.978890160374212E-2</v>
      </c>
      <c r="H26" s="285">
        <f>H31/H14</f>
        <v>2.0050855371983114E-2</v>
      </c>
      <c r="I26" s="91">
        <f>H26+($N$26-$H$26)/($N$11-$H$11)</f>
        <v>1.9738687123784258E-2</v>
      </c>
      <c r="J26" s="173">
        <f t="shared" ref="J26:M26" si="22">I26+($N$26-$H$26)/($N$11-$H$11)</f>
        <v>1.9426518875585403E-2</v>
      </c>
      <c r="K26" s="173">
        <f t="shared" si="22"/>
        <v>1.9114350627386548E-2</v>
      </c>
      <c r="L26" s="173">
        <f t="shared" si="22"/>
        <v>1.8802182379187692E-2</v>
      </c>
      <c r="M26" s="173">
        <f t="shared" si="22"/>
        <v>1.8490014130988837E-2</v>
      </c>
      <c r="N26" s="181">
        <f>Inputs!C35</f>
        <v>1.8177845882789978E-2</v>
      </c>
      <c r="O26" s="91">
        <f t="shared" ref="O26:W26" si="23">N26+($X$26-$N$26)/($X$11-$N$11)</f>
        <v>1.7880079054585364E-2</v>
      </c>
      <c r="P26" s="91">
        <f t="shared" si="23"/>
        <v>1.758231222638075E-2</v>
      </c>
      <c r="Q26" s="91">
        <f t="shared" si="23"/>
        <v>1.7284545398176136E-2</v>
      </c>
      <c r="R26" s="91">
        <f t="shared" si="23"/>
        <v>1.6986778569971522E-2</v>
      </c>
      <c r="S26" s="22">
        <f t="shared" si="23"/>
        <v>1.6689011741766908E-2</v>
      </c>
      <c r="T26" s="91">
        <f t="shared" si="23"/>
        <v>1.6391244913562295E-2</v>
      </c>
      <c r="U26" s="91">
        <f t="shared" si="23"/>
        <v>1.6093478085357681E-2</v>
      </c>
      <c r="V26" s="91">
        <f t="shared" si="23"/>
        <v>1.5795711257153067E-2</v>
      </c>
      <c r="W26" s="91">
        <f t="shared" si="23"/>
        <v>1.5497944428948453E-2</v>
      </c>
      <c r="X26" s="186">
        <f>Inputs!F35</f>
        <v>1.5200177600743832E-2</v>
      </c>
      <c r="Y26" s="173">
        <f>X26+($AH$26-$X$26)/($AH$11-$X$11)</f>
        <v>1.5047076465799085E-2</v>
      </c>
      <c r="Z26" s="173">
        <f t="shared" ref="Z26:AG26" si="24">Y26+($AH$26-$X$26)/($AH$11-$X$11)</f>
        <v>1.4893975330854337E-2</v>
      </c>
      <c r="AA26" s="173">
        <f t="shared" si="24"/>
        <v>1.474087419590959E-2</v>
      </c>
      <c r="AB26" s="173">
        <f t="shared" si="24"/>
        <v>1.4587773060964843E-2</v>
      </c>
      <c r="AC26" s="173">
        <f t="shared" si="24"/>
        <v>1.4434671926020095E-2</v>
      </c>
      <c r="AD26" s="173">
        <f t="shared" si="24"/>
        <v>1.4281570791075348E-2</v>
      </c>
      <c r="AE26" s="173">
        <f t="shared" si="24"/>
        <v>1.4128469656130601E-2</v>
      </c>
      <c r="AF26" s="173">
        <f t="shared" si="24"/>
        <v>1.3975368521185853E-2</v>
      </c>
      <c r="AG26" s="173">
        <f t="shared" si="24"/>
        <v>1.3822267386241106E-2</v>
      </c>
      <c r="AH26" s="186">
        <f>Inputs!H35</f>
        <v>1.3669166251296364E-2</v>
      </c>
      <c r="AI26" s="99"/>
    </row>
    <row r="27" spans="1:37" s="1" customFormat="1">
      <c r="B27" s="33"/>
      <c r="C27" s="343"/>
      <c r="D27" s="334"/>
      <c r="E27" s="398"/>
      <c r="F27" s="398"/>
      <c r="G27" s="398"/>
      <c r="H27" s="407"/>
      <c r="I27" s="25"/>
      <c r="J27" s="25"/>
      <c r="K27" s="24"/>
      <c r="L27" s="24"/>
      <c r="M27" s="24"/>
      <c r="N27" s="182" t="s">
        <v>0</v>
      </c>
      <c r="O27" s="26"/>
      <c r="P27" s="13"/>
      <c r="Q27" s="13"/>
      <c r="R27" s="13"/>
      <c r="S27" s="170">
        <f>SUM(S18,S24,S26)</f>
        <v>0.3421793482881812</v>
      </c>
      <c r="T27" s="13"/>
      <c r="U27" s="13"/>
      <c r="V27" s="13"/>
      <c r="W27" s="13"/>
      <c r="X27" s="177"/>
      <c r="Y27"/>
      <c r="Z27"/>
      <c r="AA27"/>
      <c r="AB27"/>
      <c r="AC27"/>
      <c r="AD27"/>
      <c r="AE27"/>
      <c r="AF27"/>
      <c r="AG27"/>
      <c r="AH27" s="281"/>
      <c r="AI27" s="24"/>
    </row>
    <row r="28" spans="1:37" s="1" customFormat="1">
      <c r="A28" s="1" t="s">
        <v>378</v>
      </c>
      <c r="B28" s="33"/>
      <c r="C28" s="333">
        <v>2009</v>
      </c>
      <c r="D28" s="333">
        <v>2010</v>
      </c>
      <c r="E28" s="333">
        <v>2011</v>
      </c>
      <c r="F28" s="333">
        <v>2012</v>
      </c>
      <c r="G28" s="333">
        <v>2013</v>
      </c>
      <c r="H28" s="406">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282</v>
      </c>
      <c r="B29" s="35">
        <v>0</v>
      </c>
      <c r="C29" s="335" t="s">
        <v>377</v>
      </c>
      <c r="D29" s="335">
        <f t="shared" ref="D29:AH29" si="25">D13-D14</f>
        <v>0</v>
      </c>
      <c r="E29" s="335">
        <f t="shared" si="25"/>
        <v>0</v>
      </c>
      <c r="F29" s="335">
        <f t="shared" si="25"/>
        <v>0</v>
      </c>
      <c r="G29" s="335">
        <f t="shared" si="25"/>
        <v>0</v>
      </c>
      <c r="H29" s="287">
        <f t="shared" si="25"/>
        <v>0</v>
      </c>
      <c r="I29" s="50">
        <f t="shared" si="25"/>
        <v>0</v>
      </c>
      <c r="J29" s="50">
        <f t="shared" si="25"/>
        <v>0</v>
      </c>
      <c r="K29" s="50">
        <f t="shared" si="25"/>
        <v>0</v>
      </c>
      <c r="L29" s="50">
        <f t="shared" si="25"/>
        <v>0</v>
      </c>
      <c r="M29" s="50">
        <f t="shared" si="25"/>
        <v>0</v>
      </c>
      <c r="N29" s="178">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5">
        <f t="shared" si="25"/>
        <v>0</v>
      </c>
      <c r="Y29" s="175">
        <f t="shared" si="25"/>
        <v>0</v>
      </c>
      <c r="Z29" s="175">
        <f t="shared" si="25"/>
        <v>0</v>
      </c>
      <c r="AA29" s="175">
        <f t="shared" si="25"/>
        <v>0</v>
      </c>
      <c r="AB29" s="175">
        <f t="shared" si="25"/>
        <v>0</v>
      </c>
      <c r="AC29" s="175">
        <f t="shared" si="25"/>
        <v>0</v>
      </c>
      <c r="AD29" s="175">
        <f t="shared" si="25"/>
        <v>0</v>
      </c>
      <c r="AE29" s="175">
        <f t="shared" si="25"/>
        <v>0</v>
      </c>
      <c r="AF29" s="175">
        <f t="shared" si="25"/>
        <v>0</v>
      </c>
      <c r="AG29" s="175">
        <f t="shared" si="25"/>
        <v>0</v>
      </c>
      <c r="AH29" s="185">
        <f t="shared" si="25"/>
        <v>0</v>
      </c>
      <c r="AI29" s="128"/>
    </row>
    <row r="30" spans="1:37" s="20" customFormat="1">
      <c r="A30" s="20" t="s">
        <v>122</v>
      </c>
      <c r="B30" s="35">
        <v>0</v>
      </c>
      <c r="C30" s="335">
        <f>C23*C47</f>
        <v>0</v>
      </c>
      <c r="D30" s="335">
        <f t="shared" ref="D30:AH30" si="26">D24*D14</f>
        <v>0</v>
      </c>
      <c r="E30" s="335">
        <f t="shared" si="26"/>
        <v>0</v>
      </c>
      <c r="F30" s="335">
        <f t="shared" si="26"/>
        <v>0</v>
      </c>
      <c r="G30" s="335">
        <f t="shared" si="26"/>
        <v>0</v>
      </c>
      <c r="H30" s="287">
        <f t="shared" si="26"/>
        <v>0</v>
      </c>
      <c r="I30" s="118">
        <f t="shared" si="26"/>
        <v>0</v>
      </c>
      <c r="J30" s="118">
        <f t="shared" si="26"/>
        <v>0</v>
      </c>
      <c r="K30" s="118">
        <f t="shared" si="26"/>
        <v>0</v>
      </c>
      <c r="L30" s="118">
        <f t="shared" si="26"/>
        <v>0</v>
      </c>
      <c r="M30" s="118">
        <f t="shared" si="26"/>
        <v>0</v>
      </c>
      <c r="N30" s="178">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5">
        <f t="shared" si="26"/>
        <v>0</v>
      </c>
      <c r="Y30" s="175">
        <f t="shared" si="26"/>
        <v>0</v>
      </c>
      <c r="Z30" s="175">
        <f t="shared" si="26"/>
        <v>0</v>
      </c>
      <c r="AA30" s="175">
        <f t="shared" si="26"/>
        <v>0</v>
      </c>
      <c r="AB30" s="175">
        <f t="shared" si="26"/>
        <v>0</v>
      </c>
      <c r="AC30" s="175">
        <f t="shared" si="26"/>
        <v>0</v>
      </c>
      <c r="AD30" s="175">
        <f t="shared" si="26"/>
        <v>0</v>
      </c>
      <c r="AE30" s="175">
        <f t="shared" si="26"/>
        <v>0</v>
      </c>
      <c r="AF30" s="175">
        <f t="shared" si="26"/>
        <v>0</v>
      </c>
      <c r="AG30" s="175">
        <f t="shared" si="26"/>
        <v>0</v>
      </c>
      <c r="AH30" s="185">
        <f t="shared" si="26"/>
        <v>0</v>
      </c>
      <c r="AI30" s="128"/>
    </row>
    <row r="31" spans="1:37">
      <c r="A31" s="9" t="s">
        <v>49</v>
      </c>
      <c r="B31" s="35">
        <v>0</v>
      </c>
      <c r="C31" s="335">
        <f>'Output - Jobs vs Yr (BAU)'!C7</f>
        <v>1478.99</v>
      </c>
      <c r="D31" s="335">
        <f t="shared" ref="D31:AH31" si="27">D26*D14</f>
        <v>1524.8312649162267</v>
      </c>
      <c r="E31" s="335">
        <f t="shared" si="27"/>
        <v>1544.8798346937378</v>
      </c>
      <c r="F31" s="335">
        <f t="shared" si="27"/>
        <v>1585.324750833704</v>
      </c>
      <c r="G31" s="335">
        <f t="shared" si="27"/>
        <v>1510.3427612464855</v>
      </c>
      <c r="H31" s="287">
        <f>'Output - Jobs vs Yr (BAU)'!H7</f>
        <v>1545.7531199999999</v>
      </c>
      <c r="I31" s="175">
        <f t="shared" si="27"/>
        <v>1625.4975788998004</v>
      </c>
      <c r="J31" s="175">
        <f t="shared" si="27"/>
        <v>1649.9823087687914</v>
      </c>
      <c r="K31" s="175">
        <f t="shared" si="27"/>
        <v>1672.4018267771203</v>
      </c>
      <c r="L31" s="175">
        <f t="shared" si="27"/>
        <v>1633.5006263923742</v>
      </c>
      <c r="M31" s="175">
        <f t="shared" si="27"/>
        <v>1619.4430378904674</v>
      </c>
      <c r="N31" s="185">
        <f t="shared" si="27"/>
        <v>1639.98946</v>
      </c>
      <c r="O31" s="175">
        <f t="shared" si="27"/>
        <v>1640.816483604355</v>
      </c>
      <c r="P31" s="175">
        <f t="shared" si="27"/>
        <v>1657.69752263904</v>
      </c>
      <c r="Q31" s="175">
        <f t="shared" si="27"/>
        <v>1644.2746250753294</v>
      </c>
      <c r="R31" s="175">
        <f t="shared" si="27"/>
        <v>1653.3052813044164</v>
      </c>
      <c r="S31" s="175">
        <f t="shared" si="27"/>
        <v>1645.2617404202051</v>
      </c>
      <c r="T31" s="175">
        <f t="shared" si="27"/>
        <v>1627.8090898575256</v>
      </c>
      <c r="U31" s="175">
        <f t="shared" si="27"/>
        <v>1654.1503716139275</v>
      </c>
      <c r="V31" s="175">
        <f t="shared" si="27"/>
        <v>1641.114272480633</v>
      </c>
      <c r="W31" s="175">
        <f t="shared" si="27"/>
        <v>1644.9101538215659</v>
      </c>
      <c r="X31" s="185">
        <f t="shared" si="27"/>
        <v>1639.9896392494379</v>
      </c>
      <c r="Y31" s="175">
        <f t="shared" si="27"/>
        <v>1622.2694044558327</v>
      </c>
      <c r="Z31" s="175">
        <f t="shared" si="27"/>
        <v>1614.3186361817513</v>
      </c>
      <c r="AA31" s="175">
        <f t="shared" si="27"/>
        <v>1614.1407262233195</v>
      </c>
      <c r="AB31" s="175">
        <f t="shared" si="27"/>
        <v>1625.1388894746271</v>
      </c>
      <c r="AC31" s="175">
        <f t="shared" si="27"/>
        <v>1615.9171689073851</v>
      </c>
      <c r="AD31" s="175">
        <f t="shared" si="27"/>
        <v>1614.1799306005789</v>
      </c>
      <c r="AE31" s="175">
        <f t="shared" si="27"/>
        <v>1615.7591299966134</v>
      </c>
      <c r="AF31" s="175">
        <f t="shared" si="27"/>
        <v>1616.690032025972</v>
      </c>
      <c r="AG31" s="175">
        <f t="shared" si="27"/>
        <v>1643.6244872200327</v>
      </c>
      <c r="AH31" s="185">
        <f t="shared" si="27"/>
        <v>1661.2342932322017</v>
      </c>
      <c r="AI31" s="128"/>
    </row>
    <row r="32" spans="1:37">
      <c r="A32" s="9" t="s">
        <v>59</v>
      </c>
      <c r="B32" s="35">
        <v>0</v>
      </c>
      <c r="C32" s="335">
        <f>EIA_electricity_aeo2014!E52*1000</f>
        <v>28212</v>
      </c>
      <c r="D32" s="335">
        <f t="shared" ref="D32:AH32" si="28">D18*D14</f>
        <v>29139.103936860356</v>
      </c>
      <c r="E32" s="335">
        <f t="shared" si="28"/>
        <v>29576.805799992086</v>
      </c>
      <c r="F32" s="335">
        <f t="shared" si="28"/>
        <v>30408.421774437651</v>
      </c>
      <c r="G32" s="335">
        <f t="shared" si="28"/>
        <v>29026.03334693822</v>
      </c>
      <c r="H32" s="287">
        <f>EIA_electricity_aeo2014!J52*1000</f>
        <v>27053.236783</v>
      </c>
      <c r="I32" s="175">
        <f t="shared" si="28"/>
        <v>28948.287347022066</v>
      </c>
      <c r="J32" s="175">
        <f t="shared" si="28"/>
        <v>29907.537140553348</v>
      </c>
      <c r="K32" s="175">
        <f t="shared" si="28"/>
        <v>30861.547897487788</v>
      </c>
      <c r="L32" s="175">
        <f t="shared" si="28"/>
        <v>30696.345684105712</v>
      </c>
      <c r="M32" s="175">
        <f t="shared" si="28"/>
        <v>30998.581698472073</v>
      </c>
      <c r="N32" s="185">
        <f t="shared" si="28"/>
        <v>31985.160627100002</v>
      </c>
      <c r="O32" s="175">
        <f t="shared" si="28"/>
        <v>32001.290293462425</v>
      </c>
      <c r="P32" s="175">
        <f t="shared" si="28"/>
        <v>32330.525790547108</v>
      </c>
      <c r="Q32" s="175">
        <f t="shared" si="28"/>
        <v>32068.735367420606</v>
      </c>
      <c r="R32" s="175">
        <f t="shared" si="28"/>
        <v>32244.862712809441</v>
      </c>
      <c r="S32" s="175">
        <f t="shared" si="28"/>
        <v>32087.987346554251</v>
      </c>
      <c r="T32" s="175">
        <f t="shared" si="28"/>
        <v>31747.603554321857</v>
      </c>
      <c r="U32" s="175">
        <f t="shared" si="28"/>
        <v>32261.34473903789</v>
      </c>
      <c r="V32" s="175">
        <f t="shared" si="28"/>
        <v>32007.098150935286</v>
      </c>
      <c r="W32" s="175">
        <f t="shared" si="28"/>
        <v>32081.130257465495</v>
      </c>
      <c r="X32" s="185">
        <f t="shared" si="28"/>
        <v>31985.164123050559</v>
      </c>
      <c r="Y32" s="175">
        <f t="shared" si="28"/>
        <v>31639.561562761301</v>
      </c>
      <c r="Z32" s="175">
        <f t="shared" si="28"/>
        <v>31484.495565961941</v>
      </c>
      <c r="AA32" s="175">
        <f t="shared" si="28"/>
        <v>31481.02573963903</v>
      </c>
      <c r="AB32" s="175">
        <f t="shared" si="28"/>
        <v>31695.525909778018</v>
      </c>
      <c r="AC32" s="175">
        <f t="shared" si="28"/>
        <v>31515.672184619641</v>
      </c>
      <c r="AD32" s="175">
        <f t="shared" si="28"/>
        <v>31481.790353274973</v>
      </c>
      <c r="AE32" s="175">
        <f t="shared" si="28"/>
        <v>31512.589908745522</v>
      </c>
      <c r="AF32" s="175">
        <f t="shared" si="28"/>
        <v>31530.745544292793</v>
      </c>
      <c r="AG32" s="175">
        <f t="shared" si="28"/>
        <v>32056.055551947025</v>
      </c>
      <c r="AH32" s="185">
        <f t="shared" si="28"/>
        <v>32399.504389667793</v>
      </c>
      <c r="AI32" s="129"/>
    </row>
    <row r="33" spans="1:36">
      <c r="A33" s="9"/>
      <c r="B33" s="35"/>
      <c r="C33" s="335"/>
      <c r="D33" s="335"/>
      <c r="E33" s="335"/>
      <c r="F33" s="335"/>
      <c r="G33" s="335"/>
      <c r="H33" s="287"/>
      <c r="I33" s="118"/>
      <c r="J33" s="118"/>
      <c r="K33" s="118"/>
      <c r="L33" s="118"/>
      <c r="M33" s="118"/>
      <c r="N33" s="185"/>
      <c r="O33" s="118"/>
      <c r="P33" s="118"/>
      <c r="Q33" s="118"/>
      <c r="R33" s="118"/>
      <c r="S33" s="118"/>
      <c r="T33" s="118"/>
      <c r="U33" s="118"/>
      <c r="V33" s="118"/>
      <c r="W33" s="118"/>
      <c r="X33" s="185"/>
      <c r="AI33" s="129"/>
    </row>
    <row r="34" spans="1:36">
      <c r="A34" s="9" t="s">
        <v>121</v>
      </c>
      <c r="B34" s="35">
        <v>1</v>
      </c>
      <c r="C34" s="335">
        <f>EIA_RE_aeo2014!E76*1000</f>
        <v>1708</v>
      </c>
      <c r="D34" s="335">
        <f>MAX(D58*D$14,'Output - Jobs vs Yr (BAU)'!D10)</f>
        <v>2149.7220621946799</v>
      </c>
      <c r="E34" s="335">
        <f>MAX(E58*E$14,'Output - Jobs vs Yr (BAU)'!E10)</f>
        <v>2659.1814957599072</v>
      </c>
      <c r="F34" s="335">
        <f>MAX(F58*F$14,'Output - Jobs vs Yr (BAU)'!F10)</f>
        <v>3332.1180066363977</v>
      </c>
      <c r="G34" s="335">
        <f>MAX(G58*G$14,'Output - Jobs vs Yr (BAU)'!G10)</f>
        <v>3876.8938917447613</v>
      </c>
      <c r="H34" s="287">
        <f>'Output - Jobs vs Yr (BAU)'!H10</f>
        <v>2062.6170129624566</v>
      </c>
      <c r="I34" s="287">
        <f>MAX(I58*I$14,'Output - Jobs vs Yr (BAU)'!I10)</f>
        <v>2659.8911671710089</v>
      </c>
      <c r="J34" s="287">
        <f>MAX(J58*J$14,'Output - Jobs vs Yr (BAU)'!J10)</f>
        <v>3341.1830954495304</v>
      </c>
      <c r="K34" s="287">
        <f>MAX(K58*K$14,'Output - Jobs vs Yr (BAU)'!K10)</f>
        <v>4118.5634288858091</v>
      </c>
      <c r="L34" s="287">
        <f>MAX(L58*L$14,'Output - Jobs vs Yr (BAU)'!L10)</f>
        <v>4936.966194634354</v>
      </c>
      <c r="M34" s="287">
        <f>MAX(M58*M$14,'Output - Jobs vs Yr (BAU)'!M10)</f>
        <v>6008.443449276544</v>
      </c>
      <c r="N34" s="288">
        <f>MAX(Inputs!$E17*N$21,'Output - Jobs vs Yr (BAU)'!N10)</f>
        <v>7471.6517143282254</v>
      </c>
      <c r="O34" s="287">
        <f>MAX(O58*O$14,'Output - Jobs vs Yr (BAU)'!O10)</f>
        <v>8014.075826760075</v>
      </c>
      <c r="P34" s="287">
        <f>MAX(P58*P$14,'Output - Jobs vs Yr (BAU)'!P10)</f>
        <v>8682.3455065168255</v>
      </c>
      <c r="Q34" s="287">
        <f>MAX(Q58*Q$14,'Output - Jobs vs Yr (BAU)'!Q10)</f>
        <v>9237.810497250668</v>
      </c>
      <c r="R34" s="287">
        <f>MAX(R58*R$14,'Output - Jobs vs Yr (BAU)'!R10)</f>
        <v>9966.42896011007</v>
      </c>
      <c r="S34" s="287">
        <f>MAX(S58*S$14,'Output - Jobs vs Yr (BAU)'!S10)</f>
        <v>10645.028255259132</v>
      </c>
      <c r="T34" s="287">
        <f>MAX(T58*T$14,'Output - Jobs vs Yr (BAU)'!T10)</f>
        <v>11307.81936143537</v>
      </c>
      <c r="U34" s="287">
        <f>MAX(U58*U$14,'Output - Jobs vs Yr (BAU)'!U10)</f>
        <v>12341.197380829815</v>
      </c>
      <c r="V34" s="287">
        <f>MAX(V58*V$14,'Output - Jobs vs Yr (BAU)'!V10)</f>
        <v>13154.572921117062</v>
      </c>
      <c r="W34" s="287">
        <f>MAX(W58*W$14,'Output - Jobs vs Yr (BAU)'!W10)</f>
        <v>14170.660419255993</v>
      </c>
      <c r="X34" s="288">
        <f>Inputs!F17*'Output -Jobs vs Yr'!$X$14</f>
        <v>15190.05487968415</v>
      </c>
      <c r="Y34" s="287">
        <f>MAX(Y58*Y$14,'Output - Jobs vs Yr (BAU)'!Y10)</f>
        <v>15178.810900130549</v>
      </c>
      <c r="Z34" s="287">
        <f>MAX(Z58*Z$14,'Output - Jobs vs Yr (BAU)'!Z10)</f>
        <v>15259.683678167106</v>
      </c>
      <c r="AA34" s="287">
        <f>MAX(AA58*AA$14,'Output - Jobs vs Yr (BAU)'!AA10)</f>
        <v>15416.474055680128</v>
      </c>
      <c r="AB34" s="287">
        <f>MAX(AB58*AB$14,'Output - Jobs vs Yr (BAU)'!AB10)</f>
        <v>15684.417186101928</v>
      </c>
      <c r="AC34" s="287">
        <f>MAX(AC58*AC$14,'Output - Jobs vs Yr (BAU)'!AC10)</f>
        <v>15760.82977876298</v>
      </c>
      <c r="AD34" s="287">
        <f>MAX(AD58*AD$14,'Output - Jobs vs Yr (BAU)'!AD10)</f>
        <v>15912.663070871478</v>
      </c>
      <c r="AE34" s="287">
        <f>MAX(AE58*AE$14,'Output - Jobs vs Yr (BAU)'!AE10)</f>
        <v>16100.834883613212</v>
      </c>
      <c r="AF34" s="287">
        <f>MAX(AF58*AF$14,'Output - Jobs vs Yr (BAU)'!AF10)</f>
        <v>16286.598593948765</v>
      </c>
      <c r="AG34" s="287">
        <f>MAX(AG58*AG$14,'Output - Jobs vs Yr (BAU)'!AG10)</f>
        <v>16741.339892541146</v>
      </c>
      <c r="AH34" s="288">
        <f>Inputs!I17*'Output -Jobs vs Yr'!$AH$14</f>
        <v>17110.226671367538</v>
      </c>
      <c r="AI34" s="128"/>
    </row>
    <row r="35" spans="1:36" s="20" customFormat="1">
      <c r="A35" s="9" t="s">
        <v>50</v>
      </c>
      <c r="B35" s="35">
        <v>1</v>
      </c>
      <c r="C35" s="335">
        <f>EIA_RE_aeo2014!E74*1000</f>
        <v>0</v>
      </c>
      <c r="D35" s="335">
        <f>MAX(D59*D$14,'Output - Jobs vs Yr (BAU)'!D11)</f>
        <v>0</v>
      </c>
      <c r="E35" s="335">
        <f>MAX(E59*E$14,'Output - Jobs vs Yr (BAU)'!E11)</f>
        <v>0</v>
      </c>
      <c r="F35" s="335">
        <f>MAX(F59*F$14,'Output - Jobs vs Yr (BAU)'!F11)</f>
        <v>0</v>
      </c>
      <c r="G35" s="335">
        <f>MAX(G59*G$14,'Output - Jobs vs Yr (BAU)'!G11)</f>
        <v>0</v>
      </c>
      <c r="H35" s="287">
        <f>'Output - Jobs vs Yr (BAU)'!H11</f>
        <v>0</v>
      </c>
      <c r="I35" s="287">
        <f>MAX(I59*I$14,'Output - Jobs vs Yr (BAU)'!I11)</f>
        <v>0</v>
      </c>
      <c r="J35" s="287">
        <f>MAX(J59*J$14,'Output - Jobs vs Yr (BAU)'!J11)</f>
        <v>0</v>
      </c>
      <c r="K35" s="287">
        <f>MAX(K59*K$14,'Output - Jobs vs Yr (BAU)'!K11)</f>
        <v>0</v>
      </c>
      <c r="L35" s="287">
        <f>MAX(L59*L$14,'Output - Jobs vs Yr (BAU)'!L11)</f>
        <v>0</v>
      </c>
      <c r="M35" s="287">
        <f>MAX(M59*M$14,'Output - Jobs vs Yr (BAU)'!M11)</f>
        <v>0</v>
      </c>
      <c r="N35" s="288">
        <f>MAX(Inputs!$E19*N$21,'Output - Jobs vs Yr (BAU)'!N11)</f>
        <v>0</v>
      </c>
      <c r="O35" s="287">
        <f>MAX(O59*O$14,'Output - Jobs vs Yr (BAU)'!O11)</f>
        <v>0</v>
      </c>
      <c r="P35" s="287">
        <f>MAX(P59*P$14,'Output - Jobs vs Yr (BAU)'!P11)</f>
        <v>0</v>
      </c>
      <c r="Q35" s="287">
        <f>MAX(Q59*Q$14,'Output - Jobs vs Yr (BAU)'!Q11)</f>
        <v>0</v>
      </c>
      <c r="R35" s="287">
        <f>MAX(R59*R$14,'Output - Jobs vs Yr (BAU)'!R11)</f>
        <v>0</v>
      </c>
      <c r="S35" s="287">
        <f>MAX(S59*S$14,'Output - Jobs vs Yr (BAU)'!S11)</f>
        <v>0</v>
      </c>
      <c r="T35" s="287">
        <f>MAX(T59*T$14,'Output - Jobs vs Yr (BAU)'!T11)</f>
        <v>0</v>
      </c>
      <c r="U35" s="287">
        <f>MAX(U59*U$14,'Output - Jobs vs Yr (BAU)'!U11)</f>
        <v>0</v>
      </c>
      <c r="V35" s="287">
        <f>MAX(V59*V$14,'Output - Jobs vs Yr (BAU)'!V11)</f>
        <v>0</v>
      </c>
      <c r="W35" s="287">
        <f>MAX(W59*W$14,'Output - Jobs vs Yr (BAU)'!W11)</f>
        <v>0</v>
      </c>
      <c r="X35" s="288">
        <f>Inputs!F19*'Output -Jobs vs Yr'!$X$14</f>
        <v>0</v>
      </c>
      <c r="Y35" s="287">
        <f>MAX(Y59*Y$14,'Output - Jobs vs Yr (BAU)'!Y11)</f>
        <v>0</v>
      </c>
      <c r="Z35" s="287">
        <f>MAX(Z59*Z$14,'Output - Jobs vs Yr (BAU)'!Z11)</f>
        <v>0</v>
      </c>
      <c r="AA35" s="287">
        <f>MAX(AA59*AA$14,'Output - Jobs vs Yr (BAU)'!AA11)</f>
        <v>0</v>
      </c>
      <c r="AB35" s="287">
        <f>MAX(AB59*AB$14,'Output - Jobs vs Yr (BAU)'!AB11)</f>
        <v>0</v>
      </c>
      <c r="AC35" s="287">
        <f>MAX(AC59*AC$14,'Output - Jobs vs Yr (BAU)'!AC11)</f>
        <v>0</v>
      </c>
      <c r="AD35" s="287">
        <f>MAX(AD59*AD$14,'Output - Jobs vs Yr (BAU)'!AD11)</f>
        <v>0</v>
      </c>
      <c r="AE35" s="287">
        <f>MAX(AE59*AE$14,'Output - Jobs vs Yr (BAU)'!AE11)</f>
        <v>0</v>
      </c>
      <c r="AF35" s="287">
        <f>MAX(AF59*AF$14,'Output - Jobs vs Yr (BAU)'!AF11)</f>
        <v>0</v>
      </c>
      <c r="AG35" s="287">
        <f>MAX(AG59*AG$14,'Output - Jobs vs Yr (BAU)'!AG11)</f>
        <v>0</v>
      </c>
      <c r="AH35" s="288">
        <f>Inputs!I19*'Output -Jobs vs Yr'!$AH$14</f>
        <v>0</v>
      </c>
      <c r="AI35" s="128"/>
    </row>
    <row r="36" spans="1:36">
      <c r="A36" s="9" t="s">
        <v>119</v>
      </c>
      <c r="B36" s="35">
        <v>1</v>
      </c>
      <c r="C36" s="335">
        <v>0</v>
      </c>
      <c r="D36" s="335">
        <v>0</v>
      </c>
      <c r="E36" s="335">
        <v>0</v>
      </c>
      <c r="F36" s="335">
        <v>0</v>
      </c>
      <c r="G36" s="335">
        <v>0</v>
      </c>
      <c r="H36" s="287">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51</v>
      </c>
      <c r="B37" s="35">
        <v>1</v>
      </c>
      <c r="C37" s="335">
        <f>EIA_RE_aeo2014!E75*1000</f>
        <v>695</v>
      </c>
      <c r="D37" s="335">
        <f>MAX(D61*D$14,'Output - Jobs vs Yr (BAU)'!D12)</f>
        <v>802</v>
      </c>
      <c r="E37" s="335">
        <f>MAX(E61*E$14,'Output - Jobs vs Yr (BAU)'!E12)</f>
        <v>985.36145242873135</v>
      </c>
      <c r="F37" s="335">
        <f>MAX(F61*F$14,'Output - Jobs vs Yr (BAU)'!F12)</f>
        <v>1164.434402040428</v>
      </c>
      <c r="G37" s="335">
        <f>MAX(G61*G$14,'Output - Jobs vs Yr (BAU)'!G12)</f>
        <v>957.11155097348751</v>
      </c>
      <c r="H37" s="287">
        <f>'Output - Jobs vs Yr (BAU)'!H12</f>
        <v>905.28916595302769</v>
      </c>
      <c r="I37" s="118">
        <f>MAX(I61*I$14,'Output - Jobs vs Yr (BAU)'!I12)</f>
        <v>1030.3339749957031</v>
      </c>
      <c r="J37" s="118">
        <f>MAX(J61*J$14,'Output - Jobs vs Yr (BAU)'!J12)</f>
        <v>1132.2025315454916</v>
      </c>
      <c r="K37" s="118">
        <f>MAX(K61*K$14,'Output - Jobs vs Yr (BAU)'!K12)</f>
        <v>1242.6555522822225</v>
      </c>
      <c r="L37" s="118">
        <f>MAX(L61*L$14,'Output - Jobs vs Yr (BAU)'!L12)</f>
        <v>1314.6513307963473</v>
      </c>
      <c r="M37" s="118">
        <f>MAX(M61*M$14,'Output - Jobs vs Yr (BAU)'!M12)</f>
        <v>1412.0752338563734</v>
      </c>
      <c r="N37" s="185">
        <f>MAX(Inputs!$E20*N$21,'Output - Jobs vs Yr (BAU)'!N12)</f>
        <v>1549.7366489782978</v>
      </c>
      <c r="O37" s="175">
        <f>MAX(O61*O$14,'Output - Jobs vs Yr (BAU)'!O12)</f>
        <v>1662.2438372768561</v>
      </c>
      <c r="P37" s="175">
        <f>MAX(P61*P$14,'Output - Jobs vs Yr (BAU)'!P12)</f>
        <v>1800.8533514401031</v>
      </c>
      <c r="Q37" s="175">
        <f>MAX(Q61*Q$14,'Output - Jobs vs Yr (BAU)'!Q12)</f>
        <v>1916.0654205082908</v>
      </c>
      <c r="R37" s="175">
        <f>MAX(R61*R$14,'Output - Jobs vs Yr (BAU)'!R12)</f>
        <v>2067.192209896783</v>
      </c>
      <c r="S37" s="175">
        <f>MAX(S61*S$14,'Output - Jobs vs Yr (BAU)'!S12)</f>
        <v>2207.9442467786171</v>
      </c>
      <c r="T37" s="175">
        <f>MAX(T61*T$14,'Output - Jobs vs Yr (BAU)'!T12)</f>
        <v>2345.4174196633267</v>
      </c>
      <c r="U37" s="175">
        <f>MAX(U61*U$14,'Output - Jobs vs Yr (BAU)'!U12)</f>
        <v>2559.7560759785142</v>
      </c>
      <c r="V37" s="175">
        <f>MAX(V61*V$14,'Output - Jobs vs Yr (BAU)'!V12)</f>
        <v>2728.4628000551206</v>
      </c>
      <c r="W37" s="175">
        <f>MAX(W61*W$14,'Output - Jobs vs Yr (BAU)'!W12)</f>
        <v>2939.2151336274769</v>
      </c>
      <c r="X37" s="185">
        <f>Inputs!F20*'Output -Jobs vs Yr'!$X$14</f>
        <v>3150.6533825572842</v>
      </c>
      <c r="Y37" s="175">
        <f>MAX(Y61*Y$14,'Output - Jobs vs Yr (BAU)'!Y12)</f>
        <v>3148.3212065056141</v>
      </c>
      <c r="Z37" s="175">
        <f>MAX(Z61*Z$14,'Output - Jobs vs Yr (BAU)'!Z12)</f>
        <v>3165.0954771514998</v>
      </c>
      <c r="AA37" s="175">
        <f>MAX(AA61*AA$14,'Output - Jobs vs Yr (BAU)'!AA12)</f>
        <v>3197.6162374237042</v>
      </c>
      <c r="AB37" s="175">
        <f>MAX(AB61*AB$14,'Output - Jobs vs Yr (BAU)'!AB12)</f>
        <v>3253.1918055755673</v>
      </c>
      <c r="AC37" s="175">
        <f>MAX(AC61*AC$14,'Output - Jobs vs Yr (BAU)'!AC12)</f>
        <v>3269.0409644788383</v>
      </c>
      <c r="AD37" s="175">
        <f>MAX(AD61*AD$14,'Output - Jobs vs Yr (BAU)'!AD12)</f>
        <v>3300.533548222314</v>
      </c>
      <c r="AE37" s="175">
        <f>MAX(AE61*AE$14,'Output - Jobs vs Yr (BAU)'!AE12)</f>
        <v>3339.5633057190826</v>
      </c>
      <c r="AF37" s="175">
        <f>MAX(AF61*AF$14,'Output - Jobs vs Yr (BAU)'!AF12)</f>
        <v>3378.0935853632914</v>
      </c>
      <c r="AG37" s="175">
        <f>MAX(AG61*AG$14,'Output - Jobs vs Yr (BAU)'!AG12)</f>
        <v>3472.4139957862171</v>
      </c>
      <c r="AH37" s="185">
        <f>Inputs!I20*'Output -Jobs vs Yr'!$AH$14</f>
        <v>3548.9268449296692</v>
      </c>
      <c r="AI37" s="128"/>
    </row>
    <row r="38" spans="1:36" s="20" customFormat="1">
      <c r="A38" s="9" t="s">
        <v>347</v>
      </c>
      <c r="B38" s="35">
        <v>1</v>
      </c>
      <c r="C38" s="335">
        <f>'Output - Jobs vs Yr (BAU)'!C13</f>
        <v>0</v>
      </c>
      <c r="D38" s="335">
        <f>MAX(D62*D$14,'Output - Jobs vs Yr (BAU)'!D13)</f>
        <v>0</v>
      </c>
      <c r="E38" s="335">
        <f>MAX(E62*E$14,'Output - Jobs vs Yr (BAU)'!E13)</f>
        <v>0.2</v>
      </c>
      <c r="F38" s="335">
        <f>MAX(F62*F$14,'Output - Jobs vs Yr (BAU)'!F13)</f>
        <v>0.2</v>
      </c>
      <c r="G38" s="335">
        <f>MAX(G62*G$14,'Output - Jobs vs Yr (BAU)'!G13)</f>
        <v>0.2</v>
      </c>
      <c r="H38" s="287">
        <f>'Output - Jobs vs Yr (BAU)'!H13</f>
        <v>0.2</v>
      </c>
      <c r="I38" s="118">
        <f>MAX(I62*I$14,'Output - Jobs vs Yr (BAU)'!I13)</f>
        <v>0.22719894709862226</v>
      </c>
      <c r="J38" s="118">
        <f>MAX(J62*J$14,'Output - Jobs vs Yr (BAU)'!J13)</f>
        <v>0.24919426095248598</v>
      </c>
      <c r="K38" s="118">
        <f>MAX(K62*K$14,'Output - Jobs vs Yr (BAU)'!K13)</f>
        <v>0.27299223872068462</v>
      </c>
      <c r="L38" s="118">
        <f>MAX(L62*L$14,'Output - Jobs vs Yr (BAU)'!L13)</f>
        <v>0.28826753983911507</v>
      </c>
      <c r="M38" s="118">
        <f>MAX(M62*M$14,'Output - Jobs vs Yr (BAU)'!M13)</f>
        <v>0.3090499042193145</v>
      </c>
      <c r="N38" s="185">
        <f>MAX(Inputs!$E21*N$21,'Output - Jobs vs Yr (BAU)'!N13)</f>
        <v>0.33854336120222828</v>
      </c>
      <c r="O38" s="175">
        <f>MAX(O62*O$14,'Output - Jobs vs Yr (BAU)'!O13)</f>
        <v>0.36312080260888019</v>
      </c>
      <c r="P38" s="175">
        <f>MAX(P62*P$14,'Output - Jobs vs Yr (BAU)'!P13)</f>
        <v>0.39340035420261071</v>
      </c>
      <c r="Q38" s="175">
        <f>MAX(Q62*Q$14,'Output - Jobs vs Yr (BAU)'!Q13)</f>
        <v>0.41856868273063641</v>
      </c>
      <c r="R38" s="175">
        <f>MAX(R62*R$14,'Output - Jobs vs Yr (BAU)'!R13)</f>
        <v>0.45158266048034756</v>
      </c>
      <c r="S38" s="175">
        <f>MAX(S62*S$14,'Output - Jobs vs Yr (BAU)'!S13)</f>
        <v>0.48233025084897624</v>
      </c>
      <c r="T38" s="175">
        <f>MAX(T62*T$14,'Output - Jobs vs Yr (BAU)'!T13)</f>
        <v>0.51236156620452877</v>
      </c>
      <c r="U38" s="175">
        <f>MAX(U62*U$14,'Output - Jobs vs Yr (BAU)'!U13)</f>
        <v>0.55918431456784046</v>
      </c>
      <c r="V38" s="175">
        <f>MAX(V62*V$14,'Output - Jobs vs Yr (BAU)'!V13)</f>
        <v>0.59603866750836443</v>
      </c>
      <c r="W38" s="175">
        <f>MAX(W62*W$14,'Output - Jobs vs Yr (BAU)'!W13)</f>
        <v>0.64207797582299786</v>
      </c>
      <c r="X38" s="185">
        <f>Inputs!F21*'Output -Jobs vs Yr'!$X$14</f>
        <v>0.68826712384798838</v>
      </c>
      <c r="Y38" s="175">
        <f>MAX(Y62*Y$14,'Output - Jobs vs Yr (BAU)'!Y13)</f>
        <v>0.687757654887589</v>
      </c>
      <c r="Z38" s="175">
        <f>MAX(Z62*Z$14,'Output - Jobs vs Yr (BAU)'!Z13)</f>
        <v>0.69142203100589128</v>
      </c>
      <c r="AA38" s="175">
        <f>MAX(AA62*AA$14,'Output - Jobs vs Yr (BAU)'!AA13)</f>
        <v>0.69852626223037861</v>
      </c>
      <c r="AB38" s="175">
        <f>MAX(AB62*AB$14,'Output - Jobs vs Yr (BAU)'!AB13)</f>
        <v>0.71066686667130696</v>
      </c>
      <c r="AC38" s="175">
        <f>MAX(AC62*AC$14,'Output - Jobs vs Yr (BAU)'!AC13)</f>
        <v>0.71412915010564337</v>
      </c>
      <c r="AD38" s="175">
        <f>MAX(AD62*AD$14,'Output - Jobs vs Yr (BAU)'!AD13)</f>
        <v>0.72100877391817164</v>
      </c>
      <c r="AE38" s="175">
        <f>MAX(AE62*AE$14,'Output - Jobs vs Yr (BAU)'!AE13)</f>
        <v>0.72953490982556923</v>
      </c>
      <c r="AF38" s="175">
        <f>MAX(AF62*AF$14,'Output - Jobs vs Yr (BAU)'!AF13)</f>
        <v>0.73795193370340806</v>
      </c>
      <c r="AG38" s="175">
        <f>MAX(AG62*AG$14,'Output - Jobs vs Yr (BAU)'!AG13)</f>
        <v>0.75855643369739256</v>
      </c>
      <c r="AH38" s="185">
        <f>Inputs!I21*'Output -Jobs vs Yr'!$AH$14</f>
        <v>0.77527083297372168</v>
      </c>
      <c r="AI38" s="128"/>
    </row>
    <row r="39" spans="1:36" s="20" customFormat="1">
      <c r="A39" s="9" t="s">
        <v>348</v>
      </c>
      <c r="B39" s="35">
        <v>1</v>
      </c>
      <c r="C39" s="335">
        <f>'Output - Jobs vs Yr (BAU)'!C14</f>
        <v>0</v>
      </c>
      <c r="D39" s="335">
        <f>MAX(D63*D$14,'Output - Jobs vs Yr (BAU)'!D14)</f>
        <v>0</v>
      </c>
      <c r="E39" s="335">
        <f>MAX(E63*E$14,'Output - Jobs vs Yr (BAU)'!E14)</f>
        <v>0.1</v>
      </c>
      <c r="F39" s="335">
        <f>MAX(F63*F$14,'Output - Jobs vs Yr (BAU)'!F14)</f>
        <v>0.1</v>
      </c>
      <c r="G39" s="335">
        <f>MAX(G63*G$14,'Output - Jobs vs Yr (BAU)'!G14)</f>
        <v>0.1</v>
      </c>
      <c r="H39" s="287">
        <f>'Output - Jobs vs Yr (BAU)'!H14</f>
        <v>0.1</v>
      </c>
      <c r="I39" s="118">
        <f>MAX(I63*I$14,'Output - Jobs vs Yr (BAU)'!I14)</f>
        <v>0.11359947354931113</v>
      </c>
      <c r="J39" s="118">
        <f>MAX(J63*J$14,'Output - Jobs vs Yr (BAU)'!J14)</f>
        <v>0.12459713047624299</v>
      </c>
      <c r="K39" s="118">
        <f>MAX(K63*K$14,'Output - Jobs vs Yr (BAU)'!K14)</f>
        <v>0.13649611936034231</v>
      </c>
      <c r="L39" s="118">
        <f>MAX(L63*L$14,'Output - Jobs vs Yr (BAU)'!L14)</f>
        <v>0.14413376991955754</v>
      </c>
      <c r="M39" s="118">
        <f>MAX(M63*M$14,'Output - Jobs vs Yr (BAU)'!M14)</f>
        <v>0.15452495210965725</v>
      </c>
      <c r="N39" s="185">
        <f>MAX(Inputs!$E22*N$21,'Output - Jobs vs Yr (BAU)'!N14)</f>
        <v>0.16927168060111414</v>
      </c>
      <c r="O39" s="175">
        <f>MAX(O63*O$14,'Output - Jobs vs Yr (BAU)'!O14)</f>
        <v>0.18156040130444009</v>
      </c>
      <c r="P39" s="175">
        <f>MAX(P63*P$14,'Output - Jobs vs Yr (BAU)'!P14)</f>
        <v>0.19670017710130536</v>
      </c>
      <c r="Q39" s="175">
        <f>MAX(Q63*Q$14,'Output - Jobs vs Yr (BAU)'!Q14)</f>
        <v>0.2092843413653182</v>
      </c>
      <c r="R39" s="175">
        <f>MAX(R63*R$14,'Output - Jobs vs Yr (BAU)'!R14)</f>
        <v>0.22579133024017378</v>
      </c>
      <c r="S39" s="175">
        <f>MAX(S63*S$14,'Output - Jobs vs Yr (BAU)'!S14)</f>
        <v>0.24116512542448812</v>
      </c>
      <c r="T39" s="175">
        <f>MAX(T63*T$14,'Output - Jobs vs Yr (BAU)'!T14)</f>
        <v>0.25618078310226439</v>
      </c>
      <c r="U39" s="175">
        <f>MAX(U63*U$14,'Output - Jobs vs Yr (BAU)'!U14)</f>
        <v>0.27959215728392023</v>
      </c>
      <c r="V39" s="175">
        <f>MAX(V63*V$14,'Output - Jobs vs Yr (BAU)'!V14)</f>
        <v>0.29801933375418221</v>
      </c>
      <c r="W39" s="175">
        <f>MAX(W63*W$14,'Output - Jobs vs Yr (BAU)'!W14)</f>
        <v>0.32103898791149893</v>
      </c>
      <c r="X39" s="185">
        <f>Inputs!F22*'Output -Jobs vs Yr'!$X$14</f>
        <v>0.34413356192399419</v>
      </c>
      <c r="Y39" s="175">
        <f>MAX(Y63*Y$14,'Output - Jobs vs Yr (BAU)'!Y14)</f>
        <v>0.3438788274437945</v>
      </c>
      <c r="Z39" s="175">
        <f>MAX(Z63*Z$14,'Output - Jobs vs Yr (BAU)'!Z14)</f>
        <v>0.34571101550294564</v>
      </c>
      <c r="AA39" s="175">
        <f>MAX(AA63*AA$14,'Output - Jobs vs Yr (BAU)'!AA14)</f>
        <v>0.34926313111518931</v>
      </c>
      <c r="AB39" s="175">
        <f>MAX(AB63*AB$14,'Output - Jobs vs Yr (BAU)'!AB14)</f>
        <v>0.35533343333565348</v>
      </c>
      <c r="AC39" s="175">
        <f>MAX(AC63*AC$14,'Output - Jobs vs Yr (BAU)'!AC14)</f>
        <v>0.35706457505282169</v>
      </c>
      <c r="AD39" s="175">
        <f>MAX(AD63*AD$14,'Output - Jobs vs Yr (BAU)'!AD14)</f>
        <v>0.36050438695908582</v>
      </c>
      <c r="AE39" s="175">
        <f>MAX(AE63*AE$14,'Output - Jobs vs Yr (BAU)'!AE14)</f>
        <v>0.36476745491278462</v>
      </c>
      <c r="AF39" s="175">
        <f>MAX(AF63*AF$14,'Output - Jobs vs Yr (BAU)'!AF14)</f>
        <v>0.36897596685170403</v>
      </c>
      <c r="AG39" s="175">
        <f>MAX(AG63*AG$14,'Output - Jobs vs Yr (BAU)'!AG14)</f>
        <v>0.37927821684869628</v>
      </c>
      <c r="AH39" s="185">
        <f>Inputs!I22*'Output -Jobs vs Yr'!$AH$14</f>
        <v>0.38763541648686084</v>
      </c>
      <c r="AI39" s="128"/>
    </row>
    <row r="40" spans="1:36" s="20" customFormat="1">
      <c r="A40" s="9" t="s">
        <v>344</v>
      </c>
      <c r="B40" s="35">
        <v>1</v>
      </c>
      <c r="C40" s="335">
        <f>'Output - Jobs vs Yr (BAU)'!C15</f>
        <v>0.01</v>
      </c>
      <c r="D40" s="335">
        <f>MAX(D64*D$14,'Output - Jobs vs Yr (BAU)'!D15)</f>
        <v>1.108729222477069E-2</v>
      </c>
      <c r="E40" s="335">
        <f>MAX(E64*E$14,'Output - Jobs vs Yr (BAU)'!E15)</f>
        <v>1.2081537542533452E-2</v>
      </c>
      <c r="F40" s="335">
        <f>MAX(F64*F$14,'Output - Jobs vs Yr (BAU)'!F15)</f>
        <v>1.3336001888095819E-2</v>
      </c>
      <c r="G40" s="335">
        <f>MAX(G64*G$14,'Output - Jobs vs Yr (BAU)'!G15)</f>
        <v>1.3668480472252924E-2</v>
      </c>
      <c r="H40" s="287">
        <f>'Output - Jobs vs Yr (BAU)'!H15</f>
        <v>0.01</v>
      </c>
      <c r="I40" s="118">
        <f>MAX(I64*I$14,'Output - Jobs vs Yr (BAU)'!I15)</f>
        <v>1.1359947354931111E-2</v>
      </c>
      <c r="J40" s="118">
        <f>MAX(J64*J$14,'Output - Jobs vs Yr (BAU)'!J15)</f>
        <v>1.2459713047624298E-2</v>
      </c>
      <c r="K40" s="118">
        <f>MAX(K64*K$14,'Output - Jobs vs Yr (BAU)'!K15)</f>
        <v>1.3649611936034232E-2</v>
      </c>
      <c r="L40" s="118">
        <f>MAX(L64*L$14,'Output - Jobs vs Yr (BAU)'!L15)</f>
        <v>1.4413376991955754E-2</v>
      </c>
      <c r="M40" s="118">
        <f>MAX(M64*M$14,'Output - Jobs vs Yr (BAU)'!M15)</f>
        <v>1.5452495210965722E-2</v>
      </c>
      <c r="N40" s="185">
        <f>MAX(Inputs!$E18*N$21,'Output - Jobs vs Yr (BAU)'!N15)</f>
        <v>1.6927168060111415E-2</v>
      </c>
      <c r="O40" s="175">
        <f>MAX(O64*O$14,'Output - Jobs vs Yr (BAU)'!O15)</f>
        <v>1.8156040130444008E-2</v>
      </c>
      <c r="P40" s="175">
        <f>MAX(P64*P$14,'Output - Jobs vs Yr (BAU)'!P15)</f>
        <v>1.9670017710130536E-2</v>
      </c>
      <c r="Q40" s="175">
        <f>MAX(Q64*Q$14,'Output - Jobs vs Yr (BAU)'!Q15)</f>
        <v>2.0928434136531823E-2</v>
      </c>
      <c r="R40" s="175">
        <f>MAX(R64*R$14,'Output - Jobs vs Yr (BAU)'!R15)</f>
        <v>2.257913302401738E-2</v>
      </c>
      <c r="S40" s="175">
        <f>MAX(S64*S$14,'Output - Jobs vs Yr (BAU)'!S15)</f>
        <v>2.4116512542448818E-2</v>
      </c>
      <c r="T40" s="175">
        <f>MAX(T64*T$14,'Output - Jobs vs Yr (BAU)'!T15)</f>
        <v>2.5618078310226448E-2</v>
      </c>
      <c r="U40" s="175">
        <f>MAX(U64*U$14,'Output - Jobs vs Yr (BAU)'!U15)</f>
        <v>2.7959215728392033E-2</v>
      </c>
      <c r="V40" s="175">
        <f>MAX(V64*V$14,'Output - Jobs vs Yr (BAU)'!V15)</f>
        <v>2.980193337541823E-2</v>
      </c>
      <c r="W40" s="175">
        <f>MAX(W64*W$14,'Output - Jobs vs Yr (BAU)'!W15)</f>
        <v>3.2103898791149901E-2</v>
      </c>
      <c r="X40" s="185">
        <f>Inputs!F18*'Output -Jobs vs Yr'!$X$14</f>
        <v>3.4413356192399429E-2</v>
      </c>
      <c r="Y40" s="175">
        <f>MAX(Y64*Y$14,'Output - Jobs vs Yr (BAU)'!Y15)</f>
        <v>3.4387882744379462E-2</v>
      </c>
      <c r="Z40" s="175">
        <f>MAX(Z64*Z$14,'Output - Jobs vs Yr (BAU)'!Z15)</f>
        <v>3.4571101550294581E-2</v>
      </c>
      <c r="AA40" s="175">
        <f>MAX(AA64*AA$14,'Output - Jobs vs Yr (BAU)'!AA15)</f>
        <v>3.4926313111518947E-2</v>
      </c>
      <c r="AB40" s="175">
        <f>MAX(AB64*AB$14,'Output - Jobs vs Yr (BAU)'!AB15)</f>
        <v>3.5533343333565358E-2</v>
      </c>
      <c r="AC40" s="175">
        <f>MAX(AC64*AC$14,'Output - Jobs vs Yr (BAU)'!AC15)</f>
        <v>3.5706457505282181E-2</v>
      </c>
      <c r="AD40" s="175">
        <f>MAX(AD64*AD$14,'Output - Jobs vs Yr (BAU)'!AD15)</f>
        <v>3.6050438695908599E-2</v>
      </c>
      <c r="AE40" s="175">
        <f>MAX(AE64*AE$14,'Output - Jobs vs Yr (BAU)'!AE15)</f>
        <v>3.6476745491278474E-2</v>
      </c>
      <c r="AF40" s="175">
        <f>MAX(AF64*AF$14,'Output - Jobs vs Yr (BAU)'!AF15)</f>
        <v>3.6897596685170418E-2</v>
      </c>
      <c r="AG40" s="175">
        <f>MAX(AG64*AG$14,'Output - Jobs vs Yr (BAU)'!AG15)</f>
        <v>3.7927821684869648E-2</v>
      </c>
      <c r="AH40" s="185">
        <f>Inputs!I18*'Output -Jobs vs Yr'!$AH$14</f>
        <v>3.876354164868609E-2</v>
      </c>
      <c r="AI40" s="128"/>
    </row>
    <row r="41" spans="1:36" s="253" customFormat="1">
      <c r="A41" s="10" t="s">
        <v>120</v>
      </c>
      <c r="B41" s="37">
        <v>1</v>
      </c>
      <c r="C41" s="335">
        <v>0</v>
      </c>
      <c r="D41" s="335">
        <v>0</v>
      </c>
      <c r="E41" s="335">
        <v>0</v>
      </c>
      <c r="F41" s="335">
        <v>0</v>
      </c>
      <c r="G41" s="335">
        <v>0</v>
      </c>
      <c r="H41" s="287">
        <v>1</v>
      </c>
      <c r="I41" s="287">
        <v>2</v>
      </c>
      <c r="J41" s="287">
        <v>3</v>
      </c>
      <c r="K41" s="287">
        <v>4</v>
      </c>
      <c r="L41" s="287">
        <v>5</v>
      </c>
      <c r="M41" s="287">
        <v>6</v>
      </c>
      <c r="N41" s="288">
        <v>7</v>
      </c>
      <c r="O41" s="287">
        <v>8</v>
      </c>
      <c r="P41" s="287">
        <v>9</v>
      </c>
      <c r="Q41" s="287">
        <v>10</v>
      </c>
      <c r="R41" s="287">
        <v>11</v>
      </c>
      <c r="S41" s="287">
        <v>12</v>
      </c>
      <c r="T41" s="287">
        <v>13</v>
      </c>
      <c r="U41" s="287">
        <v>14</v>
      </c>
      <c r="V41" s="287">
        <v>15</v>
      </c>
      <c r="W41" s="287">
        <v>16</v>
      </c>
      <c r="X41" s="288">
        <v>17</v>
      </c>
      <c r="Y41" s="253">
        <v>18</v>
      </c>
      <c r="Z41" s="253">
        <v>19</v>
      </c>
      <c r="AA41" s="253">
        <v>20</v>
      </c>
      <c r="AB41" s="253">
        <v>21</v>
      </c>
      <c r="AC41" s="253">
        <v>22</v>
      </c>
      <c r="AD41" s="198">
        <v>23</v>
      </c>
      <c r="AE41" s="253">
        <v>24</v>
      </c>
      <c r="AF41" s="253">
        <v>25</v>
      </c>
      <c r="AG41" s="253">
        <v>26</v>
      </c>
      <c r="AH41" s="288">
        <v>27</v>
      </c>
      <c r="AI41" s="253">
        <f>EXP(0.01)</f>
        <v>1.0100501670841679</v>
      </c>
      <c r="AJ41" s="488">
        <v>0.01</v>
      </c>
    </row>
    <row r="42" spans="1:36" s="20" customFormat="1">
      <c r="A42" s="9" t="s">
        <v>53</v>
      </c>
      <c r="B42" s="35">
        <v>1</v>
      </c>
      <c r="C42" s="335">
        <f>EIA_RE_aeo2014!E78*1000</f>
        <v>0</v>
      </c>
      <c r="D42" s="335">
        <f>MAX(D66*D$14,'Output - Jobs vs Yr (BAU)'!D16)</f>
        <v>0</v>
      </c>
      <c r="E42" s="335">
        <f>MAX(E66*E$14,'Output - Jobs vs Yr (BAU)'!E16)</f>
        <v>0</v>
      </c>
      <c r="F42" s="335">
        <f>MAX(F66*F$14,'Output - Jobs vs Yr (BAU)'!F16)</f>
        <v>0</v>
      </c>
      <c r="G42" s="335">
        <f>MAX(G66*G$14,'Output - Jobs vs Yr (BAU)'!G16)</f>
        <v>0</v>
      </c>
      <c r="H42" s="287">
        <f>'Output - Jobs vs Yr (BAU)'!H16</f>
        <v>0</v>
      </c>
      <c r="I42" s="118">
        <f>MAX(I66*I$14,'Output - Jobs vs Yr (BAU)'!I16)</f>
        <v>0</v>
      </c>
      <c r="J42" s="118">
        <f>MAX(J66*J$14,'Output - Jobs vs Yr (BAU)'!J16)</f>
        <v>0</v>
      </c>
      <c r="K42" s="118">
        <f>MAX(K66*K$14,'Output - Jobs vs Yr (BAU)'!K16)</f>
        <v>0</v>
      </c>
      <c r="L42" s="118">
        <f>MAX(L66*L$14,'Output - Jobs vs Yr (BAU)'!L16)</f>
        <v>0</v>
      </c>
      <c r="M42" s="118">
        <f>MAX(M66*M$14,'Output - Jobs vs Yr (BAU)'!M16)</f>
        <v>0</v>
      </c>
      <c r="N42" s="185">
        <f>MAX(Inputs!$E23*N$21,'Output - Jobs vs Yr (BAU)'!N16)</f>
        <v>0</v>
      </c>
      <c r="O42" s="175">
        <f>MAX(O66*O$14,'Output - Jobs vs Yr (BAU)'!O16)</f>
        <v>0</v>
      </c>
      <c r="P42" s="175">
        <f>MAX(P66*P$14,'Output - Jobs vs Yr (BAU)'!P16)</f>
        <v>0</v>
      </c>
      <c r="Q42" s="175">
        <f>MAX(Q66*Q$14,'Output - Jobs vs Yr (BAU)'!Q16)</f>
        <v>0</v>
      </c>
      <c r="R42" s="175">
        <f>MAX(R66*R$14,'Output - Jobs vs Yr (BAU)'!R16)</f>
        <v>0</v>
      </c>
      <c r="S42" s="175">
        <f>MAX(S66*S$14,'Output - Jobs vs Yr (BAU)'!S16)</f>
        <v>0</v>
      </c>
      <c r="T42" s="175">
        <f>MAX(T66*T$14,'Output - Jobs vs Yr (BAU)'!T16)</f>
        <v>0</v>
      </c>
      <c r="U42" s="175">
        <f>MAX(U66*U$14,'Output - Jobs vs Yr (BAU)'!U16)</f>
        <v>0</v>
      </c>
      <c r="V42" s="175">
        <f>MAX(V66*V$14,'Output - Jobs vs Yr (BAU)'!V16)</f>
        <v>0</v>
      </c>
      <c r="W42" s="175">
        <f>MAX(W66*W$14,'Output - Jobs vs Yr (BAU)'!W16)</f>
        <v>0</v>
      </c>
      <c r="X42" s="185">
        <f>Inputs!F23*'Output -Jobs vs Yr'!$X$14</f>
        <v>0</v>
      </c>
      <c r="Y42" s="175">
        <f>MAX(Y66*Y$14,'Output - Jobs vs Yr (BAU)'!Y16)</f>
        <v>0</v>
      </c>
      <c r="Z42" s="175">
        <f>MAX(Z66*Z$14,'Output - Jobs vs Yr (BAU)'!Z16)</f>
        <v>0</v>
      </c>
      <c r="AA42" s="175">
        <f>MAX(AA66*AA$14,'Output - Jobs vs Yr (BAU)'!AA16)</f>
        <v>0</v>
      </c>
      <c r="AB42" s="175">
        <f>MAX(AB66*AB$14,'Output - Jobs vs Yr (BAU)'!AB16)</f>
        <v>0</v>
      </c>
      <c r="AC42" s="175">
        <f>MAX(AC66*AC$14,'Output - Jobs vs Yr (BAU)'!AC16)</f>
        <v>0</v>
      </c>
      <c r="AD42" s="175">
        <f>MAX(AD66*AD$14,'Output - Jobs vs Yr (BAU)'!AD16)</f>
        <v>0</v>
      </c>
      <c r="AE42" s="175">
        <f>MAX(AE66*AE$14,'Output - Jobs vs Yr (BAU)'!AE16)</f>
        <v>0</v>
      </c>
      <c r="AF42" s="175">
        <f>MAX(AF66*AF$14,'Output - Jobs vs Yr (BAU)'!AF16)</f>
        <v>0</v>
      </c>
      <c r="AG42" s="175">
        <f>MAX(AG66*AG$14,'Output - Jobs vs Yr (BAU)'!AG16)</f>
        <v>0</v>
      </c>
      <c r="AH42" s="185">
        <f>Inputs!I23*'Output -Jobs vs Yr'!$AH$14</f>
        <v>0</v>
      </c>
      <c r="AI42" s="128"/>
    </row>
    <row r="43" spans="1:36">
      <c r="A43" s="10" t="s">
        <v>332</v>
      </c>
      <c r="B43" s="37"/>
      <c r="C43" s="335">
        <f>SUM(C31:C42)</f>
        <v>32094</v>
      </c>
      <c r="D43" s="335">
        <f t="shared" ref="D43:AG43" si="29">SUM(D31:D42)</f>
        <v>33615.668351263485</v>
      </c>
      <c r="E43" s="335">
        <f t="shared" si="29"/>
        <v>34766.540664412001</v>
      </c>
      <c r="F43" s="335">
        <f t="shared" si="29"/>
        <v>36490.61226995007</v>
      </c>
      <c r="G43" s="335">
        <f t="shared" si="29"/>
        <v>35370.695219383422</v>
      </c>
      <c r="H43" s="287">
        <f t="shared" si="29"/>
        <v>31568.206081915483</v>
      </c>
      <c r="I43" s="83">
        <f t="shared" si="29"/>
        <v>34266.362226456586</v>
      </c>
      <c r="J43" s="83">
        <f t="shared" si="29"/>
        <v>36034.291327421633</v>
      </c>
      <c r="K43" s="83">
        <f t="shared" si="29"/>
        <v>37899.591843402966</v>
      </c>
      <c r="L43" s="83">
        <f t="shared" si="29"/>
        <v>38586.910650615537</v>
      </c>
      <c r="M43" s="83">
        <f t="shared" si="29"/>
        <v>40045.022446847004</v>
      </c>
      <c r="N43" s="185">
        <f t="shared" si="29"/>
        <v>42654.063192616384</v>
      </c>
      <c r="O43" s="83">
        <f t="shared" si="29"/>
        <v>43326.989278347755</v>
      </c>
      <c r="P43" s="83">
        <f t="shared" si="29"/>
        <v>44481.031941692097</v>
      </c>
      <c r="Q43" s="83">
        <f t="shared" si="29"/>
        <v>44877.534691713132</v>
      </c>
      <c r="R43" s="83">
        <f t="shared" si="29"/>
        <v>45943.489117244455</v>
      </c>
      <c r="S43" s="83">
        <f t="shared" si="29"/>
        <v>46598.969200901018</v>
      </c>
      <c r="T43" s="83">
        <f t="shared" si="29"/>
        <v>47042.443585705696</v>
      </c>
      <c r="U43" s="83">
        <f t="shared" si="29"/>
        <v>48831.315303147727</v>
      </c>
      <c r="V43" s="83">
        <f t="shared" si="29"/>
        <v>49547.172004522748</v>
      </c>
      <c r="W43" s="83">
        <f t="shared" si="29"/>
        <v>50852.911185033052</v>
      </c>
      <c r="X43" s="185">
        <f t="shared" si="29"/>
        <v>51983.928838583401</v>
      </c>
      <c r="Y43" s="175">
        <f t="shared" si="29"/>
        <v>51608.029098218372</v>
      </c>
      <c r="Z43" s="175">
        <f t="shared" si="29"/>
        <v>51543.665061610358</v>
      </c>
      <c r="AA43" s="175">
        <f t="shared" si="29"/>
        <v>51730.339474672641</v>
      </c>
      <c r="AB43" s="175">
        <f t="shared" si="29"/>
        <v>52280.375324573484</v>
      </c>
      <c r="AC43" s="175">
        <f t="shared" si="29"/>
        <v>52184.566996951507</v>
      </c>
      <c r="AD43" s="175">
        <f t="shared" si="29"/>
        <v>52333.284466568926</v>
      </c>
      <c r="AE43" s="175">
        <f t="shared" si="29"/>
        <v>52593.878007184656</v>
      </c>
      <c r="AF43" s="175">
        <f t="shared" si="29"/>
        <v>52838.271581128058</v>
      </c>
      <c r="AG43" s="175">
        <f t="shared" si="29"/>
        <v>53940.609689966652</v>
      </c>
      <c r="AH43" s="185">
        <f>SUM(AH31:AH42)</f>
        <v>54748.093868988319</v>
      </c>
      <c r="AI43" s="128"/>
    </row>
    <row r="44" spans="1:36">
      <c r="A44" s="10" t="s">
        <v>124</v>
      </c>
      <c r="B44" s="37"/>
      <c r="C44" s="336">
        <f>SUMPRODUCT($B34:$B42,C34:C42)</f>
        <v>2403.0100000000002</v>
      </c>
      <c r="D44" s="336">
        <f>SUMPRODUCT($B34:$B42,D34:D42)</f>
        <v>2951.7331494869045</v>
      </c>
      <c r="E44" s="336">
        <f t="shared" ref="E44:AG44" si="30">SUMPRODUCT($B34:$B42*E34:E42)</f>
        <v>3644.8550297261809</v>
      </c>
      <c r="F44" s="336">
        <f t="shared" si="30"/>
        <v>4496.8657446787138</v>
      </c>
      <c r="G44" s="336">
        <f t="shared" si="30"/>
        <v>4834.3191111987207</v>
      </c>
      <c r="H44" s="408">
        <f t="shared" si="30"/>
        <v>2969.2161789154843</v>
      </c>
      <c r="I44" s="14">
        <f>SUMPRODUCT($B34:$B42*I34:I42)</f>
        <v>3692.5773005347146</v>
      </c>
      <c r="J44" s="14">
        <f t="shared" si="30"/>
        <v>4476.7718780994983</v>
      </c>
      <c r="K44" s="14">
        <f t="shared" si="30"/>
        <v>5365.6421191380487</v>
      </c>
      <c r="L44" s="14">
        <f t="shared" si="30"/>
        <v>6257.064340117452</v>
      </c>
      <c r="M44" s="14">
        <f t="shared" si="30"/>
        <v>7426.9977104844575</v>
      </c>
      <c r="N44" s="183">
        <f t="shared" si="30"/>
        <v>9028.9131055163871</v>
      </c>
      <c r="O44" s="14">
        <f t="shared" si="30"/>
        <v>9684.8825012809757</v>
      </c>
      <c r="P44" s="14">
        <f t="shared" si="30"/>
        <v>10492.80862850594</v>
      </c>
      <c r="Q44" s="14">
        <f t="shared" si="30"/>
        <v>11164.524699217191</v>
      </c>
      <c r="R44" s="14">
        <f t="shared" si="30"/>
        <v>12045.321123130598</v>
      </c>
      <c r="S44" s="14">
        <f t="shared" si="30"/>
        <v>12865.720113926565</v>
      </c>
      <c r="T44" s="14">
        <f t="shared" si="30"/>
        <v>13667.030941526315</v>
      </c>
      <c r="U44" s="14">
        <f t="shared" si="30"/>
        <v>14915.820192495908</v>
      </c>
      <c r="V44" s="14">
        <f t="shared" si="30"/>
        <v>15898.959581106819</v>
      </c>
      <c r="W44" s="14">
        <f t="shared" si="30"/>
        <v>17126.870773745995</v>
      </c>
      <c r="X44" s="188">
        <f t="shared" si="30"/>
        <v>18358.7750762834</v>
      </c>
      <c r="Y44" s="14">
        <f t="shared" si="30"/>
        <v>18346.198131001238</v>
      </c>
      <c r="Z44" s="14">
        <f t="shared" si="30"/>
        <v>18444.850859466667</v>
      </c>
      <c r="AA44" s="14">
        <f t="shared" si="30"/>
        <v>18635.173008810289</v>
      </c>
      <c r="AB44" s="14">
        <f t="shared" si="30"/>
        <v>18959.710525320836</v>
      </c>
      <c r="AC44" s="14">
        <f t="shared" si="30"/>
        <v>19052.977643424481</v>
      </c>
      <c r="AD44" s="14">
        <f t="shared" si="30"/>
        <v>19237.314182693364</v>
      </c>
      <c r="AE44" s="14">
        <f t="shared" si="30"/>
        <v>19465.528968442522</v>
      </c>
      <c r="AF44" s="14">
        <f t="shared" si="30"/>
        <v>19690.836004809298</v>
      </c>
      <c r="AG44" s="14">
        <f t="shared" si="30"/>
        <v>20240.929650799597</v>
      </c>
      <c r="AH44" s="188">
        <f>SUMPRODUCT($B34:$B42*AH34:AH42)</f>
        <v>20687.355186088316</v>
      </c>
      <c r="AI44" s="128"/>
    </row>
    <row r="45" spans="1:36">
      <c r="A45" s="10" t="s">
        <v>117</v>
      </c>
      <c r="B45" s="37"/>
      <c r="C45" s="337">
        <f t="shared" ref="C45:AG45" si="31">C44/C14</f>
        <v>3.3648062058922366E-2</v>
      </c>
      <c r="D45" s="337">
        <f t="shared" si="31"/>
        <v>3.9643460648252069E-2</v>
      </c>
      <c r="E45" s="337">
        <f t="shared" si="31"/>
        <v>4.777420781448441E-2</v>
      </c>
      <c r="F45" s="337">
        <f t="shared" si="31"/>
        <v>5.6785205066453882E-2</v>
      </c>
      <c r="G45" s="337">
        <f t="shared" si="31"/>
        <v>6.3340499697994726E-2</v>
      </c>
      <c r="H45" s="285">
        <f t="shared" si="31"/>
        <v>3.851541581982168E-2</v>
      </c>
      <c r="I45" s="23">
        <f t="shared" si="31"/>
        <v>4.4839579561216633E-2</v>
      </c>
      <c r="J45" s="23">
        <f t="shared" si="31"/>
        <v>5.2708500527187452E-2</v>
      </c>
      <c r="K45" s="23">
        <f t="shared" si="31"/>
        <v>6.1325432180328661E-2</v>
      </c>
      <c r="L45" s="23">
        <f t="shared" si="31"/>
        <v>7.2021071177073931E-2</v>
      </c>
      <c r="M45" s="23">
        <f t="shared" si="31"/>
        <v>8.4797852968365714E-2</v>
      </c>
      <c r="N45" s="179">
        <f t="shared" si="31"/>
        <v>0.10007758886522326</v>
      </c>
      <c r="O45" s="23">
        <f t="shared" si="31"/>
        <v>0.10553676568197458</v>
      </c>
      <c r="P45" s="23">
        <f t="shared" si="31"/>
        <v>0.11129161678684925</v>
      </c>
      <c r="Q45" s="208">
        <f t="shared" si="31"/>
        <v>0.11736101200481494</v>
      </c>
      <c r="R45" s="208">
        <f t="shared" si="31"/>
        <v>0.12375887565143869</v>
      </c>
      <c r="S45" s="208">
        <f t="shared" si="31"/>
        <v>0.13050577228688728</v>
      </c>
      <c r="T45" s="208">
        <f t="shared" si="31"/>
        <v>0.13762034675909021</v>
      </c>
      <c r="U45" s="208">
        <f t="shared" si="31"/>
        <v>0.14511826101931599</v>
      </c>
      <c r="V45" s="208">
        <f t="shared" si="31"/>
        <v>0.15302735406274048</v>
      </c>
      <c r="W45" s="208">
        <f t="shared" si="31"/>
        <v>0.16136522160595154</v>
      </c>
      <c r="X45" s="186">
        <f t="shared" si="31"/>
        <v>0.17015756381200731</v>
      </c>
      <c r="Y45" s="173">
        <f t="shared" si="31"/>
        <v>0.17016695585556899</v>
      </c>
      <c r="Z45" s="173">
        <f t="shared" si="31"/>
        <v>0.17017529719656557</v>
      </c>
      <c r="AA45" s="173">
        <f t="shared" si="31"/>
        <v>0.17018264670429817</v>
      </c>
      <c r="AB45" s="173">
        <f t="shared" si="31"/>
        <v>0.17018850280198469</v>
      </c>
      <c r="AC45" s="173">
        <f t="shared" si="31"/>
        <v>0.17019652169584107</v>
      </c>
      <c r="AD45" s="173">
        <f t="shared" si="31"/>
        <v>0.17020349412228938</v>
      </c>
      <c r="AE45" s="173">
        <f t="shared" si="31"/>
        <v>0.17020986003758357</v>
      </c>
      <c r="AF45" s="173">
        <f t="shared" si="31"/>
        <v>0.1702161108227975</v>
      </c>
      <c r="AG45" s="173">
        <f t="shared" si="31"/>
        <v>0.17021865027859867</v>
      </c>
      <c r="AH45" s="186">
        <f>AH44/AH14</f>
        <v>0.17022216462198531</v>
      </c>
      <c r="AI45" s="128"/>
    </row>
    <row r="46" spans="1:36" s="253" customFormat="1">
      <c r="A46" s="10" t="s">
        <v>333</v>
      </c>
      <c r="B46" s="37"/>
      <c r="C46" s="335">
        <f>SUM(EIA_electricity_aeo2014!E50,EIA_electricity_aeo2014!E55)*1000</f>
        <v>1508</v>
      </c>
      <c r="D46" s="335">
        <f>SUM(EIA_electricity_aeo2014!F50,EIA_electricity_aeo2014!F55)*1000</f>
        <v>1706.9999999999998</v>
      </c>
      <c r="E46" s="335">
        <f>SUM(EIA_electricity_aeo2014!G50,EIA_electricity_aeo2014!G55)*1000</f>
        <v>480.41326001355304</v>
      </c>
      <c r="F46" s="335">
        <f>SUM(EIA_electricity_aeo2014!H50,EIA_electricity_aeo2014!H55)*1000</f>
        <v>343.52293715744077</v>
      </c>
      <c r="G46" s="335">
        <f>SUM(EIA_electricity_aeo2014!I50,EIA_electricity_aeo2014!I55)*1000</f>
        <v>583.33272830051999</v>
      </c>
      <c r="H46" s="287">
        <f>SUM(EIA_electricity_aeo2014!J50,EIA_electricity_aeo2014!J55)*1000</f>
        <v>615.81823408796549</v>
      </c>
      <c r="I46" s="287">
        <f>SUM(EIA_electricity_aeo2014!K50,EIA_electricity_aeo2014!K55)*1000</f>
        <v>598.04077434491887</v>
      </c>
      <c r="J46" s="287">
        <f>SUM(EIA_electricity_aeo2014!L50,EIA_electricity_aeo2014!L55)*1000</f>
        <v>586.99970367120284</v>
      </c>
      <c r="K46" s="287">
        <f>SUM(EIA_electricity_aeo2014!M50,EIA_electricity_aeo2014!M55)*1000</f>
        <v>598.94369792865484</v>
      </c>
      <c r="L46" s="287">
        <f>SUM(EIA_electricity_aeo2014!N50,EIA_electricity_aeo2014!N55)*1000</f>
        <v>620.86986778239509</v>
      </c>
      <c r="M46" s="287">
        <f>SUM(EIA_electricity_aeo2014!O50,EIA_electricity_aeo2014!O55)*1000</f>
        <v>626.72439271017583</v>
      </c>
      <c r="N46" s="287">
        <f>SUM(EIA_electricity_aeo2014!P50,EIA_electricity_aeo2014!P55)*1000</f>
        <v>632.93502733015509</v>
      </c>
      <c r="O46" s="287">
        <f>SUM(EIA_electricity_aeo2014!Q50,EIA_electricity_aeo2014!Q55)*1000</f>
        <v>650.46440912302023</v>
      </c>
      <c r="P46" s="287">
        <f>SUM(EIA_electricity_aeo2014!R50,EIA_electricity_aeo2014!R55)*1000</f>
        <v>657.00534024455953</v>
      </c>
      <c r="Q46" s="287">
        <f>SUM(EIA_electricity_aeo2014!S50,EIA_electricity_aeo2014!S55)*1000</f>
        <v>664.19130995231239</v>
      </c>
      <c r="R46" s="287">
        <f>SUM(EIA_electricity_aeo2014!T50,EIA_electricity_aeo2014!T55)*1000</f>
        <v>667.83985831108225</v>
      </c>
      <c r="S46" s="287">
        <f>SUM(EIA_electricity_aeo2014!U50,EIA_electricity_aeo2014!U55)*1000</f>
        <v>610.89249420915678</v>
      </c>
      <c r="T46" s="287">
        <f>SUM(EIA_electricity_aeo2014!V50,EIA_electricity_aeo2014!V55)*1000</f>
        <v>497.43343321553408</v>
      </c>
      <c r="U46" s="287">
        <f>SUM(EIA_electricity_aeo2014!W50,EIA_electricity_aeo2014!W55)*1000</f>
        <v>443.25143711569223</v>
      </c>
      <c r="V46" s="287">
        <f>SUM(EIA_electricity_aeo2014!X50,EIA_electricity_aeo2014!X55)*1000</f>
        <v>416.47698880613342</v>
      </c>
      <c r="W46" s="287">
        <f>SUM(EIA_electricity_aeo2014!Y50,EIA_electricity_aeo2014!Y55)*1000</f>
        <v>415.22000335064098</v>
      </c>
      <c r="X46" s="287">
        <f>SUM(EIA_electricity_aeo2014!Z50,EIA_electricity_aeo2014!Z55)*1000</f>
        <v>413.16144287693385</v>
      </c>
      <c r="Y46" s="287">
        <f>SUM(EIA_electricity_aeo2014!AA50,EIA_electricity_aeo2014!AA55)*1000</f>
        <v>408.91730716883376</v>
      </c>
      <c r="Z46" s="287">
        <f>SUM(EIA_electricity_aeo2014!AB50,EIA_electricity_aeo2014!AB55)*1000</f>
        <v>405.88606370914863</v>
      </c>
      <c r="AA46" s="287">
        <f>SUM(EIA_electricity_aeo2014!AC50,EIA_electricity_aeo2014!AC55)*1000</f>
        <v>392.70943397623194</v>
      </c>
      <c r="AB46" s="287">
        <f>SUM(EIA_electricity_aeo2014!AD50,EIA_electricity_aeo2014!AD55)*1000</f>
        <v>393.54259815772593</v>
      </c>
      <c r="AC46" s="287">
        <f>SUM(EIA_electricity_aeo2014!AE50,EIA_electricity_aeo2014!AE55)*1000</f>
        <v>392.64625564967315</v>
      </c>
      <c r="AD46" s="287">
        <f>SUM(EIA_electricity_aeo2014!AF50,EIA_electricity_aeo2014!AF55)*1000</f>
        <v>392.92529325864109</v>
      </c>
      <c r="AE46" s="287">
        <f>SUM(EIA_electricity_aeo2014!AG50,EIA_electricity_aeo2014!AG55)*1000</f>
        <v>398.24751256747106</v>
      </c>
      <c r="AF46" s="287">
        <f>SUM(EIA_electricity_aeo2014!AH50,EIA_electricity_aeo2014!AH55)*1000</f>
        <v>402.21361175043722</v>
      </c>
      <c r="AG46" s="287">
        <f>SUM(EIA_electricity_aeo2014!AI50,EIA_electricity_aeo2014!AI55)*1000</f>
        <v>407.84526301754471</v>
      </c>
      <c r="AH46" s="287">
        <f>SUM(EIA_electricity_aeo2014!AJ50,EIA_electricity_aeo2014!AJ55)*1000</f>
        <v>411.1134153700159</v>
      </c>
      <c r="AI46" s="297"/>
    </row>
    <row r="47" spans="1:36" s="253" customFormat="1">
      <c r="A47" s="10" t="s">
        <v>142</v>
      </c>
      <c r="B47" s="37"/>
      <c r="C47" s="335">
        <f>(C$14-C$43-C$46)*0.7</f>
        <v>26469.80000000001</v>
      </c>
      <c r="D47" s="335">
        <f>(D$14-D$30-D$43-D$46)*EIA_electricity_aeo2014!F60</f>
        <v>23466.035834122733</v>
      </c>
      <c r="E47" s="335">
        <f>(E$14-E$30-E$43-E$46)*EIA_electricity_aeo2014!G60</f>
        <v>23012.463216313943</v>
      </c>
      <c r="F47" s="335">
        <f>(F$14-F$30-F$43-F$46)*EIA_electricity_aeo2014!H60</f>
        <v>18180.21452738659</v>
      </c>
      <c r="G47" s="335">
        <f>(G$14-G$30-G$43-G$46)*EIA_electricity_aeo2014!I60</f>
        <v>19172.106308059683</v>
      </c>
      <c r="H47" s="287">
        <f>(H$14-H$30-H$43-H$46)*EIA_electricity_aeo2014!J60</f>
        <v>23981.435573838797</v>
      </c>
      <c r="I47" s="287">
        <f>(I$14-I$30-I$43-I$46)*EIA_electricity_aeo2014!K60</f>
        <v>21740.504794263932</v>
      </c>
      <c r="J47" s="287">
        <f>(J$14-J$30-J$43-J$46)*EIA_electricity_aeo2014!L60</f>
        <v>20227.053932501491</v>
      </c>
      <c r="K47" s="287">
        <f>(K$14-K$30-K$43-K$46)*EIA_electricity_aeo2014!M60</f>
        <v>21722.43410350896</v>
      </c>
      <c r="L47" s="287">
        <f>(L$14-L$30-L$43-L$46)*EIA_electricity_aeo2014!N60</f>
        <v>23956.210063976705</v>
      </c>
      <c r="M47" s="287">
        <f>(M$14-M$30-M$43-M$46)*EIA_electricity_aeo2014!O60</f>
        <v>24218.774197074908</v>
      </c>
      <c r="N47" s="288">
        <f>(N$14-N$43-N$46)*EIA_electricity_aeo2014!P60 - N30</f>
        <v>22950.73738015012</v>
      </c>
      <c r="O47" s="287">
        <f>(O$14-O$43-O$46)*EIA_electricity_aeo2014!Q60 - O30</f>
        <v>23537.79779376509</v>
      </c>
      <c r="P47" s="287">
        <f>(P$14-P$43-P$46)*EIA_electricity_aeo2014!R60 - P30</f>
        <v>23416.075572485261</v>
      </c>
      <c r="Q47" s="287">
        <f>(Q$14-Q$43-Q$46)*EIA_electricity_aeo2014!S60 - Q30</f>
        <v>23476.814308283338</v>
      </c>
      <c r="R47" s="287">
        <f>(R$14-R$43-R$46)*EIA_electricity_aeo2014!T60 - R30</f>
        <v>23367.496807125932</v>
      </c>
      <c r="S47" s="287">
        <f>(S$14-S$43-S$46)*EIA_electricity_aeo2014!U60 - S30</f>
        <v>23371.94455112232</v>
      </c>
      <c r="T47" s="287">
        <f>(T$14-T$43-T$46)*EIA_electricity_aeo2014!V60 - T30</f>
        <v>23221.895176889608</v>
      </c>
      <c r="U47" s="287">
        <f>(U$14-U$43-U$46)*EIA_electricity_aeo2014!W60 - U30</f>
        <v>22683.719622555825</v>
      </c>
      <c r="V47" s="287">
        <f>(V$14-V$43-V$46)*EIA_electricity_aeo2014!X60 - V30</f>
        <v>22445.384346692608</v>
      </c>
      <c r="W47" s="287">
        <f>(W$14-W$43-W$46)*EIA_electricity_aeo2014!Y60 - W30</f>
        <v>22137.275811425901</v>
      </c>
      <c r="X47" s="288">
        <f>(X$14-X$43-X$46)*EIA_electricity_aeo2014!Z60 - X30</f>
        <v>21856.075519896978</v>
      </c>
      <c r="Y47" s="287">
        <f>(Y$14-Y$43-Y$46)*EIA_electricity_aeo2014!AA60 - Y30</f>
        <v>22052.996877131853</v>
      </c>
      <c r="Z47" s="287">
        <f>(Z$14-Z$43-Z$46)*EIA_electricity_aeo2014!AB60 - Z30</f>
        <v>22185.353811261106</v>
      </c>
      <c r="AA47" s="287">
        <f>(AA$14-AA$43-AA$46)*EIA_electricity_aeo2014!AC60 - AA30</f>
        <v>22212.65270141188</v>
      </c>
      <c r="AB47" s="287">
        <f>(AB$14-AB$43-AB$46)*EIA_electricity_aeo2014!AD60 - AB30</f>
        <v>22189.883811862157</v>
      </c>
      <c r="AC47" s="287">
        <f>(AC$14-AC$43-AC$46)*EIA_electricity_aeo2014!AE60 - AC30</f>
        <v>22303.340429164597</v>
      </c>
      <c r="AD47" s="287">
        <f>(AD$14-AD$43-AD$46)*EIA_electricity_aeo2014!AF60 - AD30</f>
        <v>22440.78344857469</v>
      </c>
      <c r="AE47" s="287">
        <f>(AE$14-AE$43-AE$46)*EIA_electricity_aeo2014!AG60 - AE30</f>
        <v>22530.14996272889</v>
      </c>
      <c r="AF47" s="287">
        <f>(AF$14-AF$43-AF$46)*EIA_electricity_aeo2014!AH60 - AF30</f>
        <v>22712.951377534242</v>
      </c>
      <c r="AG47" s="287">
        <f>(AG$14-AG$43-AG$46)*EIA_electricity_aeo2014!AI60 - AG30</f>
        <v>22697.108351191007</v>
      </c>
      <c r="AH47" s="288">
        <f>(AH$14-AH$43-AH$46)*EIA_electricity_aeo2014!AJ60 - AH30</f>
        <v>22694.407325162192</v>
      </c>
      <c r="AI47" s="297"/>
      <c r="AJ47" s="404"/>
    </row>
    <row r="48" spans="1:36" s="253" customFormat="1">
      <c r="A48" s="10" t="s">
        <v>222</v>
      </c>
      <c r="B48" s="37"/>
      <c r="C48" s="335">
        <f>(C$14-C$43-C$46)* 0.3</f>
        <v>11344.200000000004</v>
      </c>
      <c r="D48" s="335">
        <f t="shared" ref="D48:AH48" si="32">(D$14-SUM(D30:D42,D46:D47))</f>
        <v>15668.295814613783</v>
      </c>
      <c r="E48" s="335">
        <f t="shared" si="32"/>
        <v>18033.94692465305</v>
      </c>
      <c r="F48" s="335">
        <f>(F$14-SUM(F30:F42,F46:F47))</f>
        <v>24176.448985281197</v>
      </c>
      <c r="G48" s="335">
        <f t="shared" si="32"/>
        <v>21196.58397743394</v>
      </c>
      <c r="H48" s="287">
        <f t="shared" si="32"/>
        <v>20926.169934582475</v>
      </c>
      <c r="I48" s="287">
        <f t="shared" si="32"/>
        <v>25745.937968184269</v>
      </c>
      <c r="J48" s="287">
        <f t="shared" si="32"/>
        <v>28086.188049545453</v>
      </c>
      <c r="K48" s="287">
        <f t="shared" si="32"/>
        <v>27273.597101305953</v>
      </c>
      <c r="L48" s="287">
        <f t="shared" si="32"/>
        <v>23714.25543445535</v>
      </c>
      <c r="M48" s="287">
        <f t="shared" si="32"/>
        <v>22694.216671941016</v>
      </c>
      <c r="N48" s="288">
        <f t="shared" si="32"/>
        <v>23981.395455067221</v>
      </c>
      <c r="O48" s="287">
        <f t="shared" si="32"/>
        <v>24252.602486029777</v>
      </c>
      <c r="P48" s="287">
        <f t="shared" si="32"/>
        <v>25727.998695832954</v>
      </c>
      <c r="Q48" s="287">
        <f t="shared" si="32"/>
        <v>26111.217933437409</v>
      </c>
      <c r="R48" s="287">
        <f t="shared" si="32"/>
        <v>27350.121815838284</v>
      </c>
      <c r="S48" s="287">
        <f t="shared" si="32"/>
        <v>28001.726792016605</v>
      </c>
      <c r="T48" s="287">
        <f t="shared" si="32"/>
        <v>28547.895766667032</v>
      </c>
      <c r="U48" s="287">
        <f t="shared" si="32"/>
        <v>30825.609252568102</v>
      </c>
      <c r="V48" s="287">
        <f t="shared" si="32"/>
        <v>31487.160111695135</v>
      </c>
      <c r="W48" s="287">
        <f t="shared" si="32"/>
        <v>32731.904394148878</v>
      </c>
      <c r="X48" s="288">
        <f t="shared" si="32"/>
        <v>33639.628765015645</v>
      </c>
      <c r="Y48" s="287">
        <f t="shared" si="32"/>
        <v>33742.986899841184</v>
      </c>
      <c r="Z48" s="287">
        <f t="shared" si="32"/>
        <v>34252.453060282132</v>
      </c>
      <c r="AA48" s="287">
        <f t="shared" si="32"/>
        <v>35165.316088823311</v>
      </c>
      <c r="AB48" s="287">
        <f t="shared" si="32"/>
        <v>36540.37782611743</v>
      </c>
      <c r="AC48" s="287">
        <f t="shared" si="32"/>
        <v>37066.373632495903</v>
      </c>
      <c r="AD48" s="287">
        <f t="shared" si="32"/>
        <v>37858.384336852847</v>
      </c>
      <c r="AE48" s="287">
        <f t="shared" si="32"/>
        <v>38839.659626004432</v>
      </c>
      <c r="AF48" s="287">
        <f t="shared" si="32"/>
        <v>39727.951693171373</v>
      </c>
      <c r="AG48" s="287">
        <f t="shared" si="32"/>
        <v>41865.787582881254</v>
      </c>
      <c r="AH48" s="288">
        <f t="shared" si="32"/>
        <v>43677.886485116644</v>
      </c>
      <c r="AI48" s="297"/>
    </row>
    <row r="49" spans="1:35" s="253" customFormat="1">
      <c r="A49" s="10" t="s">
        <v>334</v>
      </c>
      <c r="B49" s="37"/>
      <c r="C49" s="335">
        <f>SUM(C43,C46:C48)</f>
        <v>71416.000000000015</v>
      </c>
      <c r="D49" s="335">
        <f t="shared" ref="D49:M49" si="33">SUM(D43,D46:D48)+D30</f>
        <v>74457</v>
      </c>
      <c r="E49" s="335">
        <f t="shared" si="33"/>
        <v>76293.364065392554</v>
      </c>
      <c r="F49" s="335">
        <f t="shared" si="33"/>
        <v>79190.798719775295</v>
      </c>
      <c r="G49" s="335">
        <f t="shared" si="33"/>
        <v>76322.718233177569</v>
      </c>
      <c r="H49" s="287">
        <f>SUM(H43,H46:H48)+H30</f>
        <v>77091.629824424715</v>
      </c>
      <c r="I49" s="287">
        <f t="shared" si="33"/>
        <v>82350.845763249701</v>
      </c>
      <c r="J49" s="287">
        <f t="shared" si="33"/>
        <v>84934.533013139779</v>
      </c>
      <c r="K49" s="287">
        <f t="shared" si="33"/>
        <v>87494.566746146535</v>
      </c>
      <c r="L49" s="287">
        <f t="shared" si="33"/>
        <v>86878.246016829988</v>
      </c>
      <c r="M49" s="287">
        <f t="shared" si="33"/>
        <v>87584.737708573099</v>
      </c>
      <c r="N49" s="288">
        <f t="shared" ref="N49:AH49" si="34">SUM(N43,N46:N48)+N30</f>
        <v>90219.131055163874</v>
      </c>
      <c r="O49" s="287">
        <f t="shared" si="34"/>
        <v>91767.853967265648</v>
      </c>
      <c r="P49" s="287">
        <f t="shared" si="34"/>
        <v>94282.111550254878</v>
      </c>
      <c r="Q49" s="287">
        <f t="shared" si="34"/>
        <v>95129.758243386197</v>
      </c>
      <c r="R49" s="287">
        <f t="shared" si="34"/>
        <v>97328.94759851975</v>
      </c>
      <c r="S49" s="287">
        <f t="shared" si="34"/>
        <v>98583.533038249094</v>
      </c>
      <c r="T49" s="287">
        <f t="shared" si="34"/>
        <v>99309.667962477863</v>
      </c>
      <c r="U49" s="287">
        <f t="shared" si="34"/>
        <v>102783.89561538734</v>
      </c>
      <c r="V49" s="287">
        <f t="shared" si="34"/>
        <v>103896.19345171662</v>
      </c>
      <c r="W49" s="287">
        <f t="shared" si="34"/>
        <v>106137.31139395847</v>
      </c>
      <c r="X49" s="288">
        <f t="shared" si="34"/>
        <v>107892.79456637295</v>
      </c>
      <c r="Y49" s="287">
        <f t="shared" si="34"/>
        <v>107812.93018236024</v>
      </c>
      <c r="Z49" s="287">
        <f t="shared" si="34"/>
        <v>108387.35799686275</v>
      </c>
      <c r="AA49" s="287">
        <f t="shared" si="34"/>
        <v>109501.01769888407</v>
      </c>
      <c r="AB49" s="287">
        <f t="shared" si="34"/>
        <v>111404.17956071081</v>
      </c>
      <c r="AC49" s="287">
        <f t="shared" si="34"/>
        <v>111946.92731426167</v>
      </c>
      <c r="AD49" s="287">
        <f t="shared" si="34"/>
        <v>113025.37754525511</v>
      </c>
      <c r="AE49" s="287">
        <f t="shared" si="34"/>
        <v>114361.93510848544</v>
      </c>
      <c r="AF49" s="287">
        <f t="shared" si="34"/>
        <v>115681.38826358411</v>
      </c>
      <c r="AG49" s="287">
        <f t="shared" si="34"/>
        <v>118911.35088705645</v>
      </c>
      <c r="AH49" s="288">
        <f t="shared" si="34"/>
        <v>121531.50109463718</v>
      </c>
      <c r="AI49" s="297"/>
    </row>
    <row r="50" spans="1:35">
      <c r="A50" s="10"/>
      <c r="B50" s="37"/>
      <c r="C50" s="337" t="b">
        <f t="shared" ref="C50:AH50" si="35">(C49=C14)</f>
        <v>1</v>
      </c>
      <c r="D50" s="337" t="b">
        <f t="shared" si="35"/>
        <v>1</v>
      </c>
      <c r="E50" s="337" t="b">
        <f t="shared" si="35"/>
        <v>1</v>
      </c>
      <c r="F50" s="337" t="b">
        <f t="shared" si="35"/>
        <v>1</v>
      </c>
      <c r="G50" s="337" t="b">
        <f t="shared" si="35"/>
        <v>1</v>
      </c>
      <c r="H50" s="285" t="b">
        <f t="shared" si="35"/>
        <v>1</v>
      </c>
      <c r="I50" s="91" t="b">
        <f t="shared" si="35"/>
        <v>1</v>
      </c>
      <c r="J50" s="91" t="b">
        <f t="shared" si="35"/>
        <v>1</v>
      </c>
      <c r="K50" s="91" t="b">
        <f t="shared" si="35"/>
        <v>1</v>
      </c>
      <c r="L50" s="91" t="b">
        <f t="shared" si="35"/>
        <v>1</v>
      </c>
      <c r="M50" s="91" t="b">
        <f t="shared" si="35"/>
        <v>1</v>
      </c>
      <c r="N50" s="186"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6" t="b">
        <f t="shared" si="35"/>
        <v>1</v>
      </c>
      <c r="Y50" s="173" t="b">
        <f t="shared" si="35"/>
        <v>1</v>
      </c>
      <c r="Z50" s="173" t="b">
        <f t="shared" si="35"/>
        <v>1</v>
      </c>
      <c r="AA50" s="173" t="b">
        <f t="shared" si="35"/>
        <v>1</v>
      </c>
      <c r="AB50" s="173" t="b">
        <f t="shared" si="35"/>
        <v>1</v>
      </c>
      <c r="AC50" s="173" t="b">
        <f t="shared" si="35"/>
        <v>1</v>
      </c>
      <c r="AD50" s="173" t="b">
        <f t="shared" si="35"/>
        <v>1</v>
      </c>
      <c r="AE50" s="173" t="b">
        <f t="shared" si="35"/>
        <v>1</v>
      </c>
      <c r="AF50" s="173" t="b">
        <f t="shared" si="35"/>
        <v>1</v>
      </c>
      <c r="AG50" s="173" t="b">
        <f t="shared" si="35"/>
        <v>1</v>
      </c>
      <c r="AH50" s="186" t="b">
        <f t="shared" si="35"/>
        <v>1</v>
      </c>
      <c r="AI50" s="128"/>
    </row>
    <row r="51" spans="1:35">
      <c r="A51" s="10" t="s">
        <v>543</v>
      </c>
      <c r="B51" s="37"/>
      <c r="C51" s="337"/>
      <c r="D51" s="337">
        <f>D44/C44-1</f>
        <v>0.22834825884490884</v>
      </c>
      <c r="E51" s="337">
        <f t="shared" ref="E51:X51" si="36">E44/D44-1</f>
        <v>0.23481861168912266</v>
      </c>
      <c r="F51" s="337">
        <f t="shared" si="36"/>
        <v>0.23375709267003142</v>
      </c>
      <c r="G51" s="337">
        <f>G44/F44-1</f>
        <v>7.5041903779165864E-2</v>
      </c>
      <c r="H51" s="285"/>
      <c r="I51" s="165">
        <f t="shared" ref="I51:N51" si="37">I44/H44-1</f>
        <v>0.24362022770717906</v>
      </c>
      <c r="J51" s="173">
        <f t="shared" si="37"/>
        <v>0.21237052436281467</v>
      </c>
      <c r="K51" s="173">
        <f t="shared" si="37"/>
        <v>0.19855160487111934</v>
      </c>
      <c r="L51" s="173">
        <f t="shared" si="37"/>
        <v>0.16613523622827908</v>
      </c>
      <c r="M51" s="173">
        <f t="shared" si="37"/>
        <v>0.18697799906993517</v>
      </c>
      <c r="N51" s="173">
        <f t="shared" si="37"/>
        <v>0.21568814983887186</v>
      </c>
      <c r="O51" s="173">
        <f t="shared" ref="O51:R51" si="38">O44/N44-1</f>
        <v>7.2652088695350558E-2</v>
      </c>
      <c r="P51" s="173">
        <f t="shared" si="38"/>
        <v>8.3421365939969183E-2</v>
      </c>
      <c r="Q51" s="173">
        <f t="shared" si="38"/>
        <v>6.4016803745604589E-2</v>
      </c>
      <c r="R51" s="173">
        <f t="shared" si="38"/>
        <v>7.8892424679320561E-2</v>
      </c>
      <c r="S51" s="165">
        <f t="shared" si="36"/>
        <v>6.8109349880308034E-2</v>
      </c>
      <c r="T51" s="165">
        <f t="shared" si="36"/>
        <v>6.2282625496598909E-2</v>
      </c>
      <c r="U51" s="165">
        <f t="shared" si="36"/>
        <v>9.137238777847756E-2</v>
      </c>
      <c r="V51" s="165">
        <f t="shared" si="36"/>
        <v>6.5912526158335094E-2</v>
      </c>
      <c r="W51" s="165">
        <f t="shared" si="36"/>
        <v>7.7232172732757842E-2</v>
      </c>
      <c r="X51" s="186">
        <f t="shared" si="36"/>
        <v>7.1928160071471181E-2</v>
      </c>
      <c r="Y51" s="173">
        <f t="shared" ref="Y51:AH51" si="39">Y44/X44-1</f>
        <v>-6.8506451165195603E-4</v>
      </c>
      <c r="Z51" s="173">
        <f t="shared" si="39"/>
        <v>5.3772845883925946E-3</v>
      </c>
      <c r="AA51" s="173">
        <f t="shared" si="39"/>
        <v>1.0318443385295195E-2</v>
      </c>
      <c r="AB51" s="173">
        <f t="shared" si="39"/>
        <v>1.7415320821390523E-2</v>
      </c>
      <c r="AC51" s="173">
        <f t="shared" si="39"/>
        <v>4.9192269037592329E-3</v>
      </c>
      <c r="AD51" s="173">
        <f t="shared" si="39"/>
        <v>9.6749464949117403E-3</v>
      </c>
      <c r="AE51" s="173">
        <f t="shared" si="39"/>
        <v>1.1863131390476012E-2</v>
      </c>
      <c r="AF51" s="173">
        <f t="shared" si="39"/>
        <v>1.1574668057161119E-2</v>
      </c>
      <c r="AG51" s="173">
        <f t="shared" si="39"/>
        <v>2.7936530772789014E-2</v>
      </c>
      <c r="AH51" s="186">
        <f t="shared" si="39"/>
        <v>2.2055584550242369E-2</v>
      </c>
      <c r="AI51" s="128"/>
    </row>
    <row r="52" spans="1:35">
      <c r="A52" s="10"/>
      <c r="B52" s="37"/>
      <c r="C52" s="337"/>
      <c r="D52" s="337"/>
      <c r="E52" s="337"/>
      <c r="F52" s="337"/>
      <c r="G52" s="337"/>
      <c r="H52" s="285"/>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80"/>
      <c r="AI52" s="128"/>
    </row>
    <row r="53" spans="1:35">
      <c r="A53" s="1" t="s">
        <v>542</v>
      </c>
      <c r="B53" s="37"/>
      <c r="C53" s="337"/>
      <c r="D53" s="337"/>
      <c r="E53" s="337"/>
      <c r="F53" s="337"/>
      <c r="G53" s="337"/>
      <c r="H53" s="285"/>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80"/>
      <c r="AI53" s="128"/>
    </row>
    <row r="54" spans="1:35">
      <c r="A54" s="9" t="s">
        <v>282</v>
      </c>
      <c r="B54" s="37"/>
      <c r="C54" s="337"/>
      <c r="D54" s="337"/>
      <c r="E54" s="337"/>
      <c r="F54" s="337"/>
      <c r="G54" s="337"/>
      <c r="H54" s="285"/>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80"/>
      <c r="AI54" s="128"/>
    </row>
    <row r="55" spans="1:35">
      <c r="A55" s="20" t="s">
        <v>122</v>
      </c>
      <c r="B55" s="37"/>
      <c r="C55" s="337"/>
      <c r="D55" s="337"/>
      <c r="E55" s="337"/>
      <c r="F55" s="337"/>
      <c r="G55" s="337"/>
      <c r="H55" s="285"/>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80"/>
      <c r="AI55" s="128"/>
    </row>
    <row r="56" spans="1:35">
      <c r="A56" s="9" t="s">
        <v>49</v>
      </c>
      <c r="B56" s="37"/>
      <c r="C56" s="341">
        <f t="shared" ref="C56:M56" si="40">C31/C$49</f>
        <v>2.070950487285762E-2</v>
      </c>
      <c r="D56" s="341">
        <f t="shared" si="40"/>
        <v>2.0479354055578745E-2</v>
      </c>
      <c r="E56" s="341">
        <f t="shared" si="40"/>
        <v>2.024920323829987E-2</v>
      </c>
      <c r="F56" s="341">
        <f t="shared" si="40"/>
        <v>2.0019052421020995E-2</v>
      </c>
      <c r="G56" s="341">
        <f t="shared" si="40"/>
        <v>1.978890160374212E-2</v>
      </c>
      <c r="H56" s="402">
        <f t="shared" si="40"/>
        <v>2.0050855371983114E-2</v>
      </c>
      <c r="I56" s="174">
        <f t="shared" si="40"/>
        <v>1.9738687123784258E-2</v>
      </c>
      <c r="J56" s="174">
        <f t="shared" si="40"/>
        <v>1.9426518875585403E-2</v>
      </c>
      <c r="K56" s="174">
        <f t="shared" si="40"/>
        <v>1.9114350627386548E-2</v>
      </c>
      <c r="L56" s="174">
        <f t="shared" si="40"/>
        <v>1.8802182379187692E-2</v>
      </c>
      <c r="M56" s="174">
        <f t="shared" si="40"/>
        <v>1.8490014130988837E-2</v>
      </c>
      <c r="N56" s="179">
        <f>N26</f>
        <v>1.8177845882789978E-2</v>
      </c>
      <c r="O56" s="116">
        <f t="shared" ref="O56:AH56" si="41">O31/O$49</f>
        <v>1.7880079054585364E-2</v>
      </c>
      <c r="P56" s="116">
        <f t="shared" si="41"/>
        <v>1.758231222638075E-2</v>
      </c>
      <c r="Q56" s="116">
        <f t="shared" si="41"/>
        <v>1.7284545398176136E-2</v>
      </c>
      <c r="R56" s="116">
        <f t="shared" si="41"/>
        <v>1.6986778569971522E-2</v>
      </c>
      <c r="S56" s="116">
        <f t="shared" si="41"/>
        <v>1.6689011741766908E-2</v>
      </c>
      <c r="T56" s="116">
        <f t="shared" si="41"/>
        <v>1.6391244913562295E-2</v>
      </c>
      <c r="U56" s="116">
        <f t="shared" si="41"/>
        <v>1.6093478085357681E-2</v>
      </c>
      <c r="V56" s="116">
        <f t="shared" si="41"/>
        <v>1.5795711257153067E-2</v>
      </c>
      <c r="W56" s="116">
        <f t="shared" si="41"/>
        <v>1.5497944428948453E-2</v>
      </c>
      <c r="X56" s="179">
        <f t="shared" si="41"/>
        <v>1.5200177600743832E-2</v>
      </c>
      <c r="Y56" s="174">
        <f t="shared" si="41"/>
        <v>1.5047076465799086E-2</v>
      </c>
      <c r="Z56" s="174">
        <f t="shared" si="41"/>
        <v>1.4893975330854337E-2</v>
      </c>
      <c r="AA56" s="174">
        <f t="shared" si="41"/>
        <v>1.474087419590959E-2</v>
      </c>
      <c r="AB56" s="174">
        <f t="shared" si="41"/>
        <v>1.4587773060964843E-2</v>
      </c>
      <c r="AC56" s="174">
        <f t="shared" si="41"/>
        <v>1.4434671926020095E-2</v>
      </c>
      <c r="AD56" s="174">
        <f t="shared" si="41"/>
        <v>1.428157079107535E-2</v>
      </c>
      <c r="AE56" s="174">
        <f t="shared" si="41"/>
        <v>1.4128469656130601E-2</v>
      </c>
      <c r="AF56" s="174">
        <f t="shared" si="41"/>
        <v>1.3975368521185853E-2</v>
      </c>
      <c r="AG56" s="174">
        <f t="shared" si="41"/>
        <v>1.3822267386241104E-2</v>
      </c>
      <c r="AH56" s="179">
        <f t="shared" si="41"/>
        <v>1.3669166251296366E-2</v>
      </c>
      <c r="AI56" s="128"/>
    </row>
    <row r="57" spans="1:35">
      <c r="A57" s="9" t="s">
        <v>59</v>
      </c>
      <c r="B57" s="37"/>
      <c r="C57" s="341">
        <f t="shared" ref="C57:M57" si="42">C32/C$49</f>
        <v>0.39503752660468233</v>
      </c>
      <c r="D57" s="341">
        <f t="shared" si="42"/>
        <v>0.39135479453725447</v>
      </c>
      <c r="E57" s="341">
        <f t="shared" si="42"/>
        <v>0.38767206246982661</v>
      </c>
      <c r="F57" s="341">
        <f t="shared" si="42"/>
        <v>0.38398933040239874</v>
      </c>
      <c r="G57" s="341">
        <f t="shared" si="42"/>
        <v>0.38030659833497088</v>
      </c>
      <c r="H57" s="402">
        <f t="shared" si="42"/>
        <v>0.35092313970548333</v>
      </c>
      <c r="I57" s="116">
        <f t="shared" si="42"/>
        <v>0.35152386206506542</v>
      </c>
      <c r="J57" s="116">
        <f t="shared" si="42"/>
        <v>0.3521245844246475</v>
      </c>
      <c r="K57" s="116">
        <f t="shared" si="42"/>
        <v>0.35272530678422959</v>
      </c>
      <c r="L57" s="116">
        <f t="shared" si="42"/>
        <v>0.35332602914381167</v>
      </c>
      <c r="M57" s="116">
        <f t="shared" si="42"/>
        <v>0.35392675150339376</v>
      </c>
      <c r="N57" s="179">
        <f>N18</f>
        <v>0.35452747386297584</v>
      </c>
      <c r="O57" s="116">
        <f t="shared" ref="O57:AH57" si="43">O32/O$49</f>
        <v>0.34872004639966353</v>
      </c>
      <c r="P57" s="116">
        <f t="shared" si="43"/>
        <v>0.34291261893635122</v>
      </c>
      <c r="Q57" s="116">
        <f t="shared" si="43"/>
        <v>0.33710519147303891</v>
      </c>
      <c r="R57" s="116">
        <f t="shared" si="43"/>
        <v>0.3312977640097266</v>
      </c>
      <c r="S57" s="116">
        <f t="shared" si="43"/>
        <v>0.32549033654641429</v>
      </c>
      <c r="T57" s="116">
        <f t="shared" si="43"/>
        <v>0.31968290908310198</v>
      </c>
      <c r="U57" s="116">
        <f t="shared" si="43"/>
        <v>0.31387548161978968</v>
      </c>
      <c r="V57" s="116">
        <f t="shared" si="43"/>
        <v>0.30806805415647737</v>
      </c>
      <c r="W57" s="116">
        <f>W32/W$49</f>
        <v>0.30226062669316506</v>
      </c>
      <c r="X57" s="179">
        <f t="shared" si="43"/>
        <v>0.29645319922985297</v>
      </c>
      <c r="Y57" s="174">
        <f t="shared" si="43"/>
        <v>0.29346722614109966</v>
      </c>
      <c r="Z57" s="174">
        <f t="shared" si="43"/>
        <v>0.29048125305234634</v>
      </c>
      <c r="AA57" s="174">
        <f t="shared" si="43"/>
        <v>0.28749527996359303</v>
      </c>
      <c r="AB57" s="174">
        <f t="shared" si="43"/>
        <v>0.28450930687483972</v>
      </c>
      <c r="AC57" s="174">
        <f t="shared" si="43"/>
        <v>0.2815233337860864</v>
      </c>
      <c r="AD57" s="174">
        <f t="shared" si="43"/>
        <v>0.27853736069733309</v>
      </c>
      <c r="AE57" s="174">
        <f t="shared" si="43"/>
        <v>0.27555138760857978</v>
      </c>
      <c r="AF57" s="174">
        <f t="shared" si="43"/>
        <v>0.27256541451982647</v>
      </c>
      <c r="AG57" s="174">
        <f t="shared" si="43"/>
        <v>0.26957944143107315</v>
      </c>
      <c r="AH57" s="179">
        <f t="shared" si="43"/>
        <v>0.26659346834232006</v>
      </c>
      <c r="AI57" s="128"/>
    </row>
    <row r="58" spans="1:35">
      <c r="A58" s="9" t="s">
        <v>121</v>
      </c>
      <c r="B58" s="37"/>
      <c r="C58" s="341">
        <f>C34/C$49</f>
        <v>2.3916209252828492E-2</v>
      </c>
      <c r="D58" s="341">
        <f t="shared" ref="D58:G59" si="44">C58*($N71)</f>
        <v>2.8871994066302427E-2</v>
      </c>
      <c r="E58" s="341">
        <f t="shared" si="44"/>
        <v>3.4854689242444073E-2</v>
      </c>
      <c r="F58" s="341">
        <f t="shared" si="44"/>
        <v>4.2077085475895205E-2</v>
      </c>
      <c r="G58" s="341">
        <f t="shared" si="44"/>
        <v>5.0796066773988027E-2</v>
      </c>
      <c r="H58" s="402">
        <f>H34/H$49</f>
        <v>2.675539507544519E-2</v>
      </c>
      <c r="I58" s="116">
        <f t="shared" ref="I58:N59" si="45">H58*($N71)</f>
        <v>3.2299500296790212E-2</v>
      </c>
      <c r="J58" s="116">
        <f t="shared" si="45"/>
        <v>3.8992424386952995E-2</v>
      </c>
      <c r="K58" s="116">
        <f t="shared" si="45"/>
        <v>4.7072219248027763E-2</v>
      </c>
      <c r="L58" s="116">
        <f t="shared" si="45"/>
        <v>5.6826264582712324E-2</v>
      </c>
      <c r="M58" s="116">
        <f t="shared" si="45"/>
        <v>6.8601489328755691E-2</v>
      </c>
      <c r="N58" s="179">
        <f t="shared" si="45"/>
        <v>8.2816711122608078E-2</v>
      </c>
      <c r="O58" s="116">
        <f t="shared" ref="O58:W58" si="46">N58*$X71</f>
        <v>8.7329881655713149E-2</v>
      </c>
      <c r="P58" s="116">
        <f t="shared" si="46"/>
        <v>9.208900144211242E-2</v>
      </c>
      <c r="Q58" s="116">
        <f t="shared" si="46"/>
        <v>9.7107473705715194E-2</v>
      </c>
      <c r="R58" s="116">
        <f t="shared" si="46"/>
        <v>0.1023994320910714</v>
      </c>
      <c r="S58" s="116">
        <f t="shared" si="46"/>
        <v>0.1079797804682959</v>
      </c>
      <c r="T58" s="116">
        <f t="shared" si="46"/>
        <v>0.11386423490719755</v>
      </c>
      <c r="U58" s="116">
        <f t="shared" si="46"/>
        <v>0.12006936793882589</v>
      </c>
      <c r="V58" s="116">
        <f t="shared" si="46"/>
        <v>0.12661265522909027</v>
      </c>
      <c r="W58" s="116">
        <f t="shared" si="46"/>
        <v>0.13351252479589956</v>
      </c>
      <c r="X58" s="179">
        <f t="shared" ref="X58:X66" si="47">X34/X$49</f>
        <v>0.14078840890843372</v>
      </c>
      <c r="Y58" s="174">
        <f>X58*$AH71</f>
        <v>0.14078840890843372</v>
      </c>
      <c r="Z58" s="174">
        <f t="shared" ref="Z58:AG58" si="48">Y58*$AH71</f>
        <v>0.14078840890843372</v>
      </c>
      <c r="AA58" s="174">
        <f t="shared" si="48"/>
        <v>0.14078840890843372</v>
      </c>
      <c r="AB58" s="174">
        <f t="shared" si="48"/>
        <v>0.14078840890843372</v>
      </c>
      <c r="AC58" s="174">
        <f t="shared" si="48"/>
        <v>0.14078840890843372</v>
      </c>
      <c r="AD58" s="174">
        <f t="shared" si="48"/>
        <v>0.14078840890843372</v>
      </c>
      <c r="AE58" s="174">
        <f t="shared" si="48"/>
        <v>0.14078840890843372</v>
      </c>
      <c r="AF58" s="174">
        <f t="shared" si="48"/>
        <v>0.14078840890843372</v>
      </c>
      <c r="AG58" s="174">
        <f t="shared" si="48"/>
        <v>0.14078840890843372</v>
      </c>
      <c r="AH58" s="179">
        <f t="shared" ref="AH58:AH66" si="49">AH34/AH$49</f>
        <v>0.14078840890843372</v>
      </c>
      <c r="AI58" s="128"/>
    </row>
    <row r="59" spans="1:35">
      <c r="A59" s="9" t="s">
        <v>50</v>
      </c>
      <c r="B59" s="37"/>
      <c r="C59" s="341">
        <f t="shared" ref="C59:C65" si="50">C35/C$49</f>
        <v>0</v>
      </c>
      <c r="D59" s="341">
        <f t="shared" si="44"/>
        <v>0</v>
      </c>
      <c r="E59" s="341">
        <f t="shared" si="44"/>
        <v>0</v>
      </c>
      <c r="F59" s="341">
        <f t="shared" si="44"/>
        <v>0</v>
      </c>
      <c r="G59" s="341">
        <f t="shared" si="44"/>
        <v>0</v>
      </c>
      <c r="H59" s="402">
        <f>H35/H$49</f>
        <v>0</v>
      </c>
      <c r="I59" s="116">
        <f t="shared" si="45"/>
        <v>0</v>
      </c>
      <c r="J59" s="116">
        <f t="shared" si="45"/>
        <v>0</v>
      </c>
      <c r="K59" s="116">
        <f t="shared" si="45"/>
        <v>0</v>
      </c>
      <c r="L59" s="116">
        <f t="shared" si="45"/>
        <v>0</v>
      </c>
      <c r="M59" s="116">
        <f t="shared" si="45"/>
        <v>0</v>
      </c>
      <c r="N59" s="179">
        <f t="shared" si="45"/>
        <v>0</v>
      </c>
      <c r="O59" s="116">
        <f t="shared" ref="O59:V59" si="51">N59*$X72</f>
        <v>0</v>
      </c>
      <c r="P59" s="116">
        <f t="shared" si="51"/>
        <v>0</v>
      </c>
      <c r="Q59" s="116">
        <f t="shared" si="51"/>
        <v>0</v>
      </c>
      <c r="R59" s="116">
        <f t="shared" si="51"/>
        <v>0</v>
      </c>
      <c r="S59" s="116">
        <f t="shared" si="51"/>
        <v>0</v>
      </c>
      <c r="T59" s="116">
        <f t="shared" si="51"/>
        <v>0</v>
      </c>
      <c r="U59" s="116">
        <f t="shared" si="51"/>
        <v>0</v>
      </c>
      <c r="V59" s="116">
        <f t="shared" si="51"/>
        <v>0</v>
      </c>
      <c r="W59" s="116">
        <f>V59*$X72</f>
        <v>0</v>
      </c>
      <c r="X59" s="179">
        <f t="shared" si="47"/>
        <v>0</v>
      </c>
      <c r="Y59" s="174">
        <f>X59*$AH72</f>
        <v>0</v>
      </c>
      <c r="Z59" s="174">
        <f t="shared" ref="Z59:AG59" si="52">Y59*$AH72</f>
        <v>0</v>
      </c>
      <c r="AA59" s="174">
        <f t="shared" si="52"/>
        <v>0</v>
      </c>
      <c r="AB59" s="174">
        <f t="shared" si="52"/>
        <v>0</v>
      </c>
      <c r="AC59" s="174">
        <f t="shared" si="52"/>
        <v>0</v>
      </c>
      <c r="AD59" s="174">
        <f t="shared" si="52"/>
        <v>0</v>
      </c>
      <c r="AE59" s="174">
        <f t="shared" si="52"/>
        <v>0</v>
      </c>
      <c r="AF59" s="174">
        <f t="shared" si="52"/>
        <v>0</v>
      </c>
      <c r="AG59" s="174">
        <f t="shared" si="52"/>
        <v>0</v>
      </c>
      <c r="AH59" s="179">
        <f t="shared" si="49"/>
        <v>0</v>
      </c>
      <c r="AI59" s="128"/>
    </row>
    <row r="60" spans="1:35">
      <c r="A60" s="9" t="s">
        <v>119</v>
      </c>
      <c r="B60" s="37"/>
      <c r="C60" s="341">
        <f t="shared" si="50"/>
        <v>0</v>
      </c>
      <c r="D60" s="341">
        <v>0</v>
      </c>
      <c r="E60" s="341">
        <v>0</v>
      </c>
      <c r="F60" s="341">
        <v>0</v>
      </c>
      <c r="G60" s="341">
        <v>0</v>
      </c>
      <c r="H60" s="402">
        <f t="shared" ref="H60:H66" si="53">H36/H$49</f>
        <v>0</v>
      </c>
      <c r="I60" s="174">
        <v>0</v>
      </c>
      <c r="J60" s="174">
        <v>0</v>
      </c>
      <c r="K60" s="174">
        <v>0</v>
      </c>
      <c r="L60" s="174">
        <v>0</v>
      </c>
      <c r="M60" s="174">
        <v>0</v>
      </c>
      <c r="N60" s="179">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9">
        <f t="shared" si="47"/>
        <v>0</v>
      </c>
      <c r="Y60" s="174">
        <f t="shared" ref="Y60:AG66" si="55">X60*$AH73</f>
        <v>0</v>
      </c>
      <c r="Z60" s="174">
        <f t="shared" si="55"/>
        <v>0</v>
      </c>
      <c r="AA60" s="174">
        <f t="shared" si="55"/>
        <v>0</v>
      </c>
      <c r="AB60" s="174">
        <f t="shared" si="55"/>
        <v>0</v>
      </c>
      <c r="AC60" s="174">
        <f t="shared" si="55"/>
        <v>0</v>
      </c>
      <c r="AD60" s="174">
        <f t="shared" si="55"/>
        <v>0</v>
      </c>
      <c r="AE60" s="174">
        <f t="shared" si="55"/>
        <v>0</v>
      </c>
      <c r="AF60" s="174">
        <f t="shared" si="55"/>
        <v>0</v>
      </c>
      <c r="AG60" s="174">
        <f t="shared" si="55"/>
        <v>0</v>
      </c>
      <c r="AH60" s="179">
        <f t="shared" si="49"/>
        <v>0</v>
      </c>
      <c r="AI60" s="128"/>
    </row>
    <row r="61" spans="1:35">
      <c r="A61" s="9" t="s">
        <v>51</v>
      </c>
      <c r="B61" s="37"/>
      <c r="C61" s="341">
        <f t="shared" si="50"/>
        <v>9.7317127814495336E-3</v>
      </c>
      <c r="D61" s="341">
        <f t="shared" ref="D61:M61" si="56">C61*($N74)</f>
        <v>1.0368576688618606E-2</v>
      </c>
      <c r="E61" s="341">
        <f t="shared" si="56"/>
        <v>1.104711831946935E-2</v>
      </c>
      <c r="F61" s="341">
        <f t="shared" si="56"/>
        <v>1.1770065152559954E-2</v>
      </c>
      <c r="G61" s="341">
        <f t="shared" si="56"/>
        <v>1.2540323158425326E-2</v>
      </c>
      <c r="H61" s="402">
        <f t="shared" si="53"/>
        <v>1.1743027978715889E-2</v>
      </c>
      <c r="I61" s="116">
        <f t="shared" si="56"/>
        <v>1.2511516614629658E-2</v>
      </c>
      <c r="J61" s="116">
        <f t="shared" si="56"/>
        <v>1.3330296775403882E-2</v>
      </c>
      <c r="K61" s="116">
        <f t="shared" si="56"/>
        <v>1.4202659644999636E-2</v>
      </c>
      <c r="L61" s="116">
        <f t="shared" si="56"/>
        <v>1.5132111789430856E-2</v>
      </c>
      <c r="M61" s="116">
        <f t="shared" si="56"/>
        <v>1.612238925182229E-2</v>
      </c>
      <c r="N61" s="179">
        <f>M61*($N74)</f>
        <v>1.7177472569877925E-2</v>
      </c>
      <c r="O61" s="116">
        <f t="shared" ref="O61:W61" si="57">N61*$X74</f>
        <v>1.8113574257384205E-2</v>
      </c>
      <c r="P61" s="116">
        <f t="shared" si="57"/>
        <v>1.9100689641217892E-2</v>
      </c>
      <c r="Q61" s="116">
        <f t="shared" si="57"/>
        <v>2.0141598758257155E-2</v>
      </c>
      <c r="R61" s="116">
        <f t="shared" si="57"/>
        <v>2.1239233145969229E-2</v>
      </c>
      <c r="S61" s="116">
        <f t="shared" si="57"/>
        <v>2.2396684098570135E-2</v>
      </c>
      <c r="T61" s="116">
        <f t="shared" si="57"/>
        <v>2.3617211373111176E-2</v>
      </c>
      <c r="U61" s="116">
        <f t="shared" si="57"/>
        <v>2.4904252370011398E-2</v>
      </c>
      <c r="V61" s="116">
        <f t="shared" si="57"/>
        <v>2.6261431813891345E-2</v>
      </c>
      <c r="W61" s="116">
        <f t="shared" si="57"/>
        <v>2.7692571961972483E-2</v>
      </c>
      <c r="X61" s="179">
        <f t="shared" si="47"/>
        <v>2.9201703368792447E-2</v>
      </c>
      <c r="Y61" s="174">
        <f t="shared" si="55"/>
        <v>2.9201703368792447E-2</v>
      </c>
      <c r="Z61" s="174">
        <f t="shared" si="55"/>
        <v>2.9201703368792447E-2</v>
      </c>
      <c r="AA61" s="174">
        <f t="shared" si="55"/>
        <v>2.9201703368792447E-2</v>
      </c>
      <c r="AB61" s="174">
        <f t="shared" si="55"/>
        <v>2.9201703368792447E-2</v>
      </c>
      <c r="AC61" s="174">
        <f t="shared" si="55"/>
        <v>2.9201703368792447E-2</v>
      </c>
      <c r="AD61" s="174">
        <f t="shared" si="55"/>
        <v>2.9201703368792447E-2</v>
      </c>
      <c r="AE61" s="174">
        <f t="shared" si="55"/>
        <v>2.9201703368792447E-2</v>
      </c>
      <c r="AF61" s="174">
        <f t="shared" si="55"/>
        <v>2.9201703368792447E-2</v>
      </c>
      <c r="AG61" s="174">
        <f t="shared" si="55"/>
        <v>2.9201703368792447E-2</v>
      </c>
      <c r="AH61" s="179">
        <f t="shared" si="49"/>
        <v>2.9201703368792443E-2</v>
      </c>
      <c r="AI61" s="128"/>
    </row>
    <row r="62" spans="1:35">
      <c r="A62" s="9" t="s">
        <v>347</v>
      </c>
      <c r="B62" s="37"/>
      <c r="C62" s="344">
        <f t="shared" si="50"/>
        <v>0</v>
      </c>
      <c r="D62" s="344">
        <f t="shared" ref="D62:N62" si="58">C62*($N75)</f>
        <v>0</v>
      </c>
      <c r="E62" s="344">
        <f t="shared" si="58"/>
        <v>0</v>
      </c>
      <c r="F62" s="344">
        <f t="shared" si="58"/>
        <v>0</v>
      </c>
      <c r="G62" s="344">
        <f t="shared" si="58"/>
        <v>0</v>
      </c>
      <c r="H62" s="402">
        <f t="shared" si="53"/>
        <v>2.5943153680301956E-6</v>
      </c>
      <c r="I62" s="116">
        <f t="shared" si="58"/>
        <v>2.7589145562851425E-6</v>
      </c>
      <c r="J62" s="116">
        <f t="shared" si="58"/>
        <v>2.9339569208431914E-6</v>
      </c>
      <c r="K62" s="116">
        <f t="shared" si="58"/>
        <v>3.1201050404962186E-6</v>
      </c>
      <c r="L62" s="116">
        <f t="shared" si="58"/>
        <v>3.3180635320753613E-6</v>
      </c>
      <c r="M62" s="116">
        <f t="shared" si="58"/>
        <v>3.5285817176005951E-6</v>
      </c>
      <c r="N62" s="179">
        <f t="shared" si="58"/>
        <v>3.7524564606505477E-6</v>
      </c>
      <c r="O62" s="116">
        <f t="shared" ref="O62:W62" si="59">N62*$X75</f>
        <v>3.9569499221198787E-6</v>
      </c>
      <c r="P62" s="116">
        <f t="shared" si="59"/>
        <v>4.1725874371504489E-6</v>
      </c>
      <c r="Q62" s="116">
        <f t="shared" si="59"/>
        <v>4.3999763108799555E-6</v>
      </c>
      <c r="R62" s="116">
        <f t="shared" si="59"/>
        <v>4.6397569440812031E-6</v>
      </c>
      <c r="S62" s="116">
        <f t="shared" si="59"/>
        <v>4.8926046367382526E-6</v>
      </c>
      <c r="T62" s="116">
        <f t="shared" si="59"/>
        <v>5.1592314899100682E-6</v>
      </c>
      <c r="U62" s="116">
        <f t="shared" si="59"/>
        <v>5.4403884112379113E-6</v>
      </c>
      <c r="V62" s="116">
        <f t="shared" si="59"/>
        <v>5.736867229744656E-6</v>
      </c>
      <c r="W62" s="116">
        <f t="shared" si="59"/>
        <v>6.0495029258819728E-6</v>
      </c>
      <c r="X62" s="179">
        <f t="shared" si="47"/>
        <v>6.3791759831059304E-6</v>
      </c>
      <c r="Y62" s="174">
        <f t="shared" si="55"/>
        <v>6.3791759831059304E-6</v>
      </c>
      <c r="Z62" s="174">
        <f t="shared" si="55"/>
        <v>6.3791759831059304E-6</v>
      </c>
      <c r="AA62" s="174">
        <f t="shared" si="55"/>
        <v>6.3791759831059304E-6</v>
      </c>
      <c r="AB62" s="174">
        <f t="shared" si="55"/>
        <v>6.3791759831059304E-6</v>
      </c>
      <c r="AC62" s="174">
        <f t="shared" si="55"/>
        <v>6.3791759831059304E-6</v>
      </c>
      <c r="AD62" s="174">
        <f t="shared" si="55"/>
        <v>6.3791759831059304E-6</v>
      </c>
      <c r="AE62" s="174">
        <f t="shared" si="55"/>
        <v>6.3791759831059304E-6</v>
      </c>
      <c r="AF62" s="174">
        <f t="shared" si="55"/>
        <v>6.3791759831059304E-6</v>
      </c>
      <c r="AG62" s="174">
        <f t="shared" si="55"/>
        <v>6.3791759831059304E-6</v>
      </c>
      <c r="AH62" s="179">
        <f t="shared" si="49"/>
        <v>6.3791759831059313E-6</v>
      </c>
      <c r="AI62" s="128"/>
    </row>
    <row r="63" spans="1:35">
      <c r="A63" s="9" t="s">
        <v>348</v>
      </c>
      <c r="B63" s="37"/>
      <c r="C63" s="344">
        <f t="shared" si="50"/>
        <v>0</v>
      </c>
      <c r="D63" s="344">
        <f t="shared" ref="D63:N63" si="60">C63*($N76)</f>
        <v>0</v>
      </c>
      <c r="E63" s="344">
        <f t="shared" si="60"/>
        <v>0</v>
      </c>
      <c r="F63" s="344">
        <f t="shared" si="60"/>
        <v>0</v>
      </c>
      <c r="G63" s="344">
        <f t="shared" si="60"/>
        <v>0</v>
      </c>
      <c r="H63" s="402">
        <f t="shared" si="53"/>
        <v>1.2971576840150978E-6</v>
      </c>
      <c r="I63" s="116">
        <f t="shared" si="60"/>
        <v>1.3794572781425712E-6</v>
      </c>
      <c r="J63" s="116">
        <f t="shared" si="60"/>
        <v>1.4669784604215957E-6</v>
      </c>
      <c r="K63" s="116">
        <f t="shared" si="60"/>
        <v>1.5600525202481093E-6</v>
      </c>
      <c r="L63" s="116">
        <f t="shared" si="60"/>
        <v>1.6590317660376806E-6</v>
      </c>
      <c r="M63" s="116">
        <f t="shared" si="60"/>
        <v>1.7642908588002976E-6</v>
      </c>
      <c r="N63" s="179">
        <f t="shared" si="60"/>
        <v>1.8762282303252738E-6</v>
      </c>
      <c r="O63" s="116">
        <f t="shared" ref="O63:W63" si="61">N63*$X76</f>
        <v>1.9784749610599393E-6</v>
      </c>
      <c r="P63" s="116">
        <f t="shared" si="61"/>
        <v>2.0862937185752244E-6</v>
      </c>
      <c r="Q63" s="116">
        <f t="shared" si="61"/>
        <v>2.1999881554399777E-6</v>
      </c>
      <c r="R63" s="116">
        <f t="shared" si="61"/>
        <v>2.3198784720406015E-6</v>
      </c>
      <c r="S63" s="116">
        <f t="shared" si="61"/>
        <v>2.4463023183691263E-6</v>
      </c>
      <c r="T63" s="116">
        <f t="shared" si="61"/>
        <v>2.5796157449550341E-6</v>
      </c>
      <c r="U63" s="116">
        <f t="shared" si="61"/>
        <v>2.7201942056189556E-6</v>
      </c>
      <c r="V63" s="116">
        <f t="shared" si="61"/>
        <v>2.868433614872328E-6</v>
      </c>
      <c r="W63" s="116">
        <f t="shared" si="61"/>
        <v>3.0247514629409864E-6</v>
      </c>
      <c r="X63" s="179">
        <f t="shared" si="47"/>
        <v>3.1895879915529652E-6</v>
      </c>
      <c r="Y63" s="174">
        <f t="shared" si="55"/>
        <v>3.1895879915529652E-6</v>
      </c>
      <c r="Z63" s="174">
        <f t="shared" si="55"/>
        <v>3.1895879915529652E-6</v>
      </c>
      <c r="AA63" s="174">
        <f t="shared" si="55"/>
        <v>3.1895879915529652E-6</v>
      </c>
      <c r="AB63" s="174">
        <f t="shared" si="55"/>
        <v>3.1895879915529652E-6</v>
      </c>
      <c r="AC63" s="174">
        <f t="shared" si="55"/>
        <v>3.1895879915529652E-6</v>
      </c>
      <c r="AD63" s="174">
        <f t="shared" si="55"/>
        <v>3.1895879915529652E-6</v>
      </c>
      <c r="AE63" s="174">
        <f t="shared" si="55"/>
        <v>3.1895879915529652E-6</v>
      </c>
      <c r="AF63" s="174">
        <f t="shared" si="55"/>
        <v>3.1895879915529652E-6</v>
      </c>
      <c r="AG63" s="174">
        <f t="shared" si="55"/>
        <v>3.1895879915529652E-6</v>
      </c>
      <c r="AH63" s="179">
        <f t="shared" si="49"/>
        <v>3.1895879915529656E-6</v>
      </c>
      <c r="AI63" s="128"/>
    </row>
    <row r="64" spans="1:35">
      <c r="A64" s="9" t="s">
        <v>344</v>
      </c>
      <c r="B64" s="37"/>
      <c r="C64" s="341">
        <f t="shared" si="50"/>
        <v>1.4002464433740336E-7</v>
      </c>
      <c r="D64" s="341">
        <f t="shared" ref="D64:N64" si="62">C64*($N77)</f>
        <v>1.4890866170770634E-7</v>
      </c>
      <c r="E64" s="341">
        <f t="shared" si="62"/>
        <v>1.5835633531873266E-7</v>
      </c>
      <c r="F64" s="341">
        <f t="shared" si="62"/>
        <v>1.6840342695982421E-7</v>
      </c>
      <c r="G64" s="341">
        <f t="shared" si="62"/>
        <v>1.7908796736633027E-7</v>
      </c>
      <c r="H64" s="402">
        <f t="shared" si="53"/>
        <v>1.2971576840150976E-7</v>
      </c>
      <c r="I64" s="116">
        <f t="shared" si="62"/>
        <v>1.3794572781425711E-7</v>
      </c>
      <c r="J64" s="116">
        <f t="shared" si="62"/>
        <v>1.4669784604215956E-7</v>
      </c>
      <c r="K64" s="116">
        <f t="shared" si="62"/>
        <v>1.5600525202481093E-7</v>
      </c>
      <c r="L64" s="116">
        <f t="shared" si="62"/>
        <v>1.6590317660376805E-7</v>
      </c>
      <c r="M64" s="116">
        <f t="shared" si="62"/>
        <v>1.7642908588002974E-7</v>
      </c>
      <c r="N64" s="179">
        <f t="shared" si="62"/>
        <v>1.8762282303252737E-7</v>
      </c>
      <c r="O64" s="116">
        <f t="shared" ref="O64:W64" si="63">N64*$X77</f>
        <v>1.9784749610599393E-7</v>
      </c>
      <c r="P64" s="116">
        <f t="shared" si="63"/>
        <v>2.0862937185752245E-7</v>
      </c>
      <c r="Q64" s="116">
        <f t="shared" si="63"/>
        <v>2.1999881554399781E-7</v>
      </c>
      <c r="R64" s="116">
        <f t="shared" si="63"/>
        <v>2.3198784720406016E-7</v>
      </c>
      <c r="S64" s="116">
        <f t="shared" si="63"/>
        <v>2.4463023183691268E-7</v>
      </c>
      <c r="T64" s="116">
        <f t="shared" si="63"/>
        <v>2.5796157449550348E-7</v>
      </c>
      <c r="U64" s="116">
        <f t="shared" si="63"/>
        <v>2.7201942056189565E-7</v>
      </c>
      <c r="V64" s="116">
        <f t="shared" si="63"/>
        <v>2.8684336148723289E-7</v>
      </c>
      <c r="W64" s="116">
        <f t="shared" si="63"/>
        <v>3.0247514629409875E-7</v>
      </c>
      <c r="X64" s="179">
        <f t="shared" si="47"/>
        <v>3.1895879915529664E-7</v>
      </c>
      <c r="Y64" s="174">
        <f t="shared" si="55"/>
        <v>3.1895879915529664E-7</v>
      </c>
      <c r="Z64" s="174">
        <f t="shared" si="55"/>
        <v>3.1895879915529664E-7</v>
      </c>
      <c r="AA64" s="174">
        <f t="shared" si="55"/>
        <v>3.1895879915529664E-7</v>
      </c>
      <c r="AB64" s="174">
        <f t="shared" si="55"/>
        <v>3.1895879915529664E-7</v>
      </c>
      <c r="AC64" s="174">
        <f t="shared" si="55"/>
        <v>3.1895879915529664E-7</v>
      </c>
      <c r="AD64" s="174">
        <f t="shared" si="55"/>
        <v>3.1895879915529664E-7</v>
      </c>
      <c r="AE64" s="174">
        <f t="shared" si="55"/>
        <v>3.1895879915529664E-7</v>
      </c>
      <c r="AF64" s="174">
        <f t="shared" si="55"/>
        <v>3.1895879915529664E-7</v>
      </c>
      <c r="AG64" s="174">
        <f t="shared" si="55"/>
        <v>3.1895879915529664E-7</v>
      </c>
      <c r="AH64" s="179">
        <f t="shared" si="49"/>
        <v>3.1895879915529659E-7</v>
      </c>
      <c r="AI64" s="128"/>
    </row>
    <row r="65" spans="1:35">
      <c r="A65" s="9" t="s">
        <v>120</v>
      </c>
      <c r="B65" s="37"/>
      <c r="C65" s="341">
        <f t="shared" si="50"/>
        <v>0</v>
      </c>
      <c r="D65" s="341">
        <v>0</v>
      </c>
      <c r="E65" s="341">
        <v>0</v>
      </c>
      <c r="F65" s="341">
        <v>0</v>
      </c>
      <c r="G65" s="341">
        <v>0</v>
      </c>
      <c r="H65" s="402">
        <f t="shared" si="53"/>
        <v>1.2971576840150978E-5</v>
      </c>
      <c r="I65" s="174">
        <v>0</v>
      </c>
      <c r="J65" s="174">
        <v>0</v>
      </c>
      <c r="K65" s="174">
        <v>0</v>
      </c>
      <c r="L65" s="174">
        <v>0</v>
      </c>
      <c r="M65" s="174">
        <v>0</v>
      </c>
      <c r="N65" s="179">
        <v>0</v>
      </c>
      <c r="O65" s="116">
        <f t="shared" ref="O65:AG65" si="64">O41/O$49</f>
        <v>8.7176496497931249E-5</v>
      </c>
      <c r="P65" s="116">
        <f t="shared" si="64"/>
        <v>9.5458192991390101E-5</v>
      </c>
      <c r="Q65" s="116">
        <f t="shared" si="64"/>
        <v>1.0511957756073915E-4</v>
      </c>
      <c r="R65" s="116">
        <f t="shared" si="64"/>
        <v>1.130187911347281E-4</v>
      </c>
      <c r="S65" s="116">
        <f t="shared" si="64"/>
        <v>1.2172418283430926E-4</v>
      </c>
      <c r="T65" s="116">
        <f t="shared" si="64"/>
        <v>1.3090366997210972E-4</v>
      </c>
      <c r="U65" s="116">
        <f t="shared" si="64"/>
        <v>1.3620810844130058E-4</v>
      </c>
      <c r="V65" s="116">
        <f t="shared" si="64"/>
        <v>1.4437487555278824E-4</v>
      </c>
      <c r="W65" s="116">
        <f t="shared" si="64"/>
        <v>1.5074811854439671E-4</v>
      </c>
      <c r="X65" s="179">
        <f t="shared" si="47"/>
        <v>1.5756381200731644E-4</v>
      </c>
      <c r="Y65" s="174">
        <f t="shared" si="64"/>
        <v>1.6695585556902951E-4</v>
      </c>
      <c r="Z65" s="174">
        <f t="shared" si="64"/>
        <v>1.7529719656558058E-4</v>
      </c>
      <c r="AA65" s="174">
        <f t="shared" si="64"/>
        <v>1.8264670429819961E-4</v>
      </c>
      <c r="AB65" s="174">
        <f t="shared" si="64"/>
        <v>1.8850280198469432E-4</v>
      </c>
      <c r="AC65" s="174">
        <f t="shared" si="64"/>
        <v>1.9652169584110838E-4</v>
      </c>
      <c r="AD65" s="174">
        <f t="shared" si="64"/>
        <v>2.0349412228940224E-4</v>
      </c>
      <c r="AE65" s="174">
        <f t="shared" si="64"/>
        <v>2.0986003758360019E-4</v>
      </c>
      <c r="AF65" s="174">
        <f t="shared" si="64"/>
        <v>2.1611082279749807E-4</v>
      </c>
      <c r="AG65" s="174">
        <f t="shared" si="64"/>
        <v>2.1865027859867758E-4</v>
      </c>
      <c r="AH65" s="179">
        <f t="shared" si="49"/>
        <v>2.2216462198533174E-4</v>
      </c>
      <c r="AI65" s="128"/>
    </row>
    <row r="66" spans="1:35">
      <c r="A66" s="9" t="s">
        <v>53</v>
      </c>
      <c r="B66" s="37"/>
      <c r="C66" s="341">
        <f>C42/C$49</f>
        <v>0</v>
      </c>
      <c r="D66" s="341">
        <f t="shared" ref="D66:N66" si="65">C66*($N79)</f>
        <v>0</v>
      </c>
      <c r="E66" s="341">
        <f t="shared" si="65"/>
        <v>0</v>
      </c>
      <c r="F66" s="341">
        <f t="shared" si="65"/>
        <v>0</v>
      </c>
      <c r="G66" s="341">
        <f t="shared" si="65"/>
        <v>0</v>
      </c>
      <c r="H66" s="402">
        <f t="shared" si="53"/>
        <v>0</v>
      </c>
      <c r="I66" s="116">
        <f t="shared" si="65"/>
        <v>0</v>
      </c>
      <c r="J66" s="116">
        <f t="shared" si="65"/>
        <v>0</v>
      </c>
      <c r="K66" s="116">
        <f t="shared" si="65"/>
        <v>0</v>
      </c>
      <c r="L66" s="116">
        <f t="shared" si="65"/>
        <v>0</v>
      </c>
      <c r="M66" s="116">
        <f t="shared" si="65"/>
        <v>0</v>
      </c>
      <c r="N66" s="179">
        <f t="shared" si="65"/>
        <v>0</v>
      </c>
      <c r="O66" s="116">
        <f t="shared" ref="O66:W66" si="66">N66*$X79</f>
        <v>0</v>
      </c>
      <c r="P66" s="116">
        <f t="shared" si="66"/>
        <v>0</v>
      </c>
      <c r="Q66" s="116">
        <f t="shared" si="66"/>
        <v>0</v>
      </c>
      <c r="R66" s="116">
        <f t="shared" si="66"/>
        <v>0</v>
      </c>
      <c r="S66" s="116">
        <f t="shared" si="66"/>
        <v>0</v>
      </c>
      <c r="T66" s="116">
        <f t="shared" si="66"/>
        <v>0</v>
      </c>
      <c r="U66" s="116">
        <f t="shared" si="66"/>
        <v>0</v>
      </c>
      <c r="V66" s="116">
        <f t="shared" si="66"/>
        <v>0</v>
      </c>
      <c r="W66" s="116">
        <f t="shared" si="66"/>
        <v>0</v>
      </c>
      <c r="X66" s="179">
        <f t="shared" si="47"/>
        <v>0</v>
      </c>
      <c r="Y66" s="174">
        <f t="shared" si="55"/>
        <v>0</v>
      </c>
      <c r="Z66" s="174">
        <f t="shared" si="55"/>
        <v>0</v>
      </c>
      <c r="AA66" s="174">
        <f t="shared" si="55"/>
        <v>0</v>
      </c>
      <c r="AB66" s="174">
        <f t="shared" si="55"/>
        <v>0</v>
      </c>
      <c r="AC66" s="174">
        <f t="shared" si="55"/>
        <v>0</v>
      </c>
      <c r="AD66" s="174">
        <f t="shared" si="55"/>
        <v>0</v>
      </c>
      <c r="AE66" s="174">
        <f t="shared" si="55"/>
        <v>0</v>
      </c>
      <c r="AF66" s="174">
        <f t="shared" si="55"/>
        <v>0</v>
      </c>
      <c r="AG66" s="174">
        <f t="shared" si="55"/>
        <v>0</v>
      </c>
      <c r="AH66" s="179">
        <f t="shared" si="49"/>
        <v>0</v>
      </c>
      <c r="AI66" s="128"/>
    </row>
    <row r="67" spans="1:35" s="1" customFormat="1">
      <c r="A67" s="11" t="s">
        <v>541</v>
      </c>
      <c r="B67" s="36"/>
      <c r="C67" s="345">
        <f t="shared" ref="C67:AG67" si="67">SUM(C58:C66)</f>
        <v>3.3648062058922359E-2</v>
      </c>
      <c r="D67" s="345">
        <f t="shared" si="67"/>
        <v>3.9240719663582738E-2</v>
      </c>
      <c r="E67" s="345">
        <f t="shared" si="67"/>
        <v>4.5901965918248737E-2</v>
      </c>
      <c r="F67" s="345">
        <f t="shared" si="67"/>
        <v>5.384731903188212E-2</v>
      </c>
      <c r="G67" s="345">
        <f t="shared" si="67"/>
        <v>6.333656902038072E-2</v>
      </c>
      <c r="H67" s="409">
        <f t="shared" si="67"/>
        <v>3.8515415819821687E-2</v>
      </c>
      <c r="I67" s="85">
        <f t="shared" si="67"/>
        <v>4.481529322898211E-2</v>
      </c>
      <c r="J67" s="85">
        <f t="shared" si="67"/>
        <v>5.2327268795584192E-2</v>
      </c>
      <c r="K67" s="85">
        <f t="shared" si="67"/>
        <v>6.1279715055840171E-2</v>
      </c>
      <c r="L67" s="85">
        <f t="shared" si="67"/>
        <v>7.1963519370617887E-2</v>
      </c>
      <c r="M67" s="85">
        <f t="shared" si="67"/>
        <v>8.4729347882240263E-2</v>
      </c>
      <c r="N67" s="184">
        <f>SUM(N58:N66)</f>
        <v>0.1</v>
      </c>
      <c r="O67" s="85">
        <f t="shared" si="67"/>
        <v>0.10553676568197458</v>
      </c>
      <c r="P67" s="85">
        <f t="shared" si="67"/>
        <v>0.11129161678684929</v>
      </c>
      <c r="Q67" s="85">
        <f t="shared" si="67"/>
        <v>0.11736101200481494</v>
      </c>
      <c r="R67" s="85">
        <f t="shared" si="67"/>
        <v>0.1237588756514387</v>
      </c>
      <c r="S67" s="85">
        <f t="shared" si="67"/>
        <v>0.13050577228688731</v>
      </c>
      <c r="T67" s="85">
        <f t="shared" si="67"/>
        <v>0.13762034675909021</v>
      </c>
      <c r="U67" s="85">
        <f t="shared" si="67"/>
        <v>0.14511826101931602</v>
      </c>
      <c r="V67" s="85">
        <f t="shared" si="67"/>
        <v>0.15302735406274051</v>
      </c>
      <c r="W67" s="85">
        <f t="shared" si="67"/>
        <v>0.16136522160595154</v>
      </c>
      <c r="X67" s="184">
        <f t="shared" si="67"/>
        <v>0.17015756381200731</v>
      </c>
      <c r="Y67" s="85">
        <f t="shared" si="67"/>
        <v>0.17016695585556901</v>
      </c>
      <c r="Z67" s="85">
        <f t="shared" si="67"/>
        <v>0.17017529719656557</v>
      </c>
      <c r="AA67" s="85">
        <f t="shared" si="67"/>
        <v>0.1701826467042982</v>
      </c>
      <c r="AB67" s="85">
        <f t="shared" si="67"/>
        <v>0.17018850280198469</v>
      </c>
      <c r="AC67" s="85">
        <f t="shared" si="67"/>
        <v>0.1701965216958411</v>
      </c>
      <c r="AD67" s="85">
        <f t="shared" si="67"/>
        <v>0.17020349412228938</v>
      </c>
      <c r="AE67" s="85">
        <f t="shared" si="67"/>
        <v>0.17020986003758359</v>
      </c>
      <c r="AF67" s="85">
        <f t="shared" si="67"/>
        <v>0.17021611082279747</v>
      </c>
      <c r="AG67" s="85">
        <f t="shared" si="67"/>
        <v>0.17021865027859867</v>
      </c>
      <c r="AH67" s="184">
        <f>SUM(AH58:AH66)</f>
        <v>0.17022216462198531</v>
      </c>
      <c r="AI67" s="197"/>
    </row>
    <row r="68" spans="1:35" s="253" customFormat="1">
      <c r="A68" s="10" t="s">
        <v>549</v>
      </c>
      <c r="B68" s="37"/>
      <c r="C68" s="337"/>
      <c r="D68" s="337">
        <f>D67/C67-1</f>
        <v>0.16621039258863912</v>
      </c>
      <c r="E68" s="337">
        <f t="shared" ref="E68:W68" si="68">E67/D67-1</f>
        <v>0.16975341715885883</v>
      </c>
      <c r="F68" s="337">
        <f t="shared" si="68"/>
        <v>0.17309396133019739</v>
      </c>
      <c r="G68" s="337">
        <f t="shared" si="68"/>
        <v>0.1762251149937506</v>
      </c>
      <c r="H68" s="285"/>
      <c r="I68" s="285">
        <f t="shared" si="68"/>
        <v>0.16356768517395137</v>
      </c>
      <c r="J68" s="285">
        <f t="shared" si="68"/>
        <v>0.16762080587579598</v>
      </c>
      <c r="K68" s="285">
        <f t="shared" si="68"/>
        <v>0.17108567800908148</v>
      </c>
      <c r="L68" s="285">
        <f t="shared" si="68"/>
        <v>0.17434487587029857</v>
      </c>
      <c r="M68" s="285">
        <f t="shared" si="68"/>
        <v>0.17739305447079845</v>
      </c>
      <c r="N68" s="284">
        <f t="shared" si="68"/>
        <v>0.18022860436720722</v>
      </c>
      <c r="O68" s="285">
        <f t="shared" si="68"/>
        <v>5.5367656819745648E-2</v>
      </c>
      <c r="P68" s="285">
        <f t="shared" si="68"/>
        <v>5.4529348778949993E-2</v>
      </c>
      <c r="Q68" s="285">
        <f t="shared" si="68"/>
        <v>5.4535960508059089E-2</v>
      </c>
      <c r="R68" s="285">
        <f t="shared" si="68"/>
        <v>5.4514387165997436E-2</v>
      </c>
      <c r="S68" s="285">
        <f t="shared" si="68"/>
        <v>5.4516466798316232E-2</v>
      </c>
      <c r="T68" s="285">
        <f t="shared" si="68"/>
        <v>5.451540071777905E-2</v>
      </c>
      <c r="U68" s="285">
        <f t="shared" si="68"/>
        <v>5.4482599679473331E-2</v>
      </c>
      <c r="V68" s="285">
        <f t="shared" si="68"/>
        <v>5.450101860283274E-2</v>
      </c>
      <c r="W68" s="285">
        <f t="shared" si="68"/>
        <v>5.4486125008686548E-2</v>
      </c>
      <c r="X68" s="285">
        <f>X67/W67-1</f>
        <v>5.4487219231950546E-2</v>
      </c>
      <c r="Y68" s="290">
        <f t="shared" ref="Y68:AG68" si="69">Y67/X67-1</f>
        <v>5.5196156734327317E-5</v>
      </c>
      <c r="Z68" s="290">
        <f t="shared" si="69"/>
        <v>4.9018570935865924E-5</v>
      </c>
      <c r="AA68" s="290">
        <f t="shared" si="69"/>
        <v>4.3187864829263845E-5</v>
      </c>
      <c r="AB68" s="290">
        <f t="shared" si="69"/>
        <v>3.4410662896000588E-5</v>
      </c>
      <c r="AC68" s="290">
        <f t="shared" si="69"/>
        <v>4.7117717850486684E-5</v>
      </c>
      <c r="AD68" s="290">
        <f t="shared" si="69"/>
        <v>4.096691506272343E-5</v>
      </c>
      <c r="AE68" s="290">
        <f t="shared" si="69"/>
        <v>3.7401789704905042E-5</v>
      </c>
      <c r="AF68" s="290">
        <f t="shared" si="69"/>
        <v>3.6723990093801007E-5</v>
      </c>
      <c r="AG68" s="290">
        <f t="shared" si="69"/>
        <v>1.4919009657221594E-5</v>
      </c>
      <c r="AH68" s="284">
        <f>AH67/AG67-1</f>
        <v>2.0646053654482799E-5</v>
      </c>
      <c r="AI68" s="297"/>
    </row>
    <row r="69" spans="1:35">
      <c r="A69" s="10"/>
      <c r="B69" s="37"/>
      <c r="C69" s="337"/>
      <c r="D69" s="337"/>
      <c r="E69" s="337"/>
      <c r="F69" s="337"/>
      <c r="G69" s="337"/>
      <c r="H69" s="285"/>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80"/>
      <c r="AI69" s="128"/>
    </row>
    <row r="70" spans="1:35">
      <c r="A70" s="11" t="s">
        <v>546</v>
      </c>
      <c r="B70" s="37"/>
      <c r="C70" s="337"/>
      <c r="D70" s="337"/>
      <c r="E70" s="337"/>
      <c r="F70" s="337"/>
      <c r="G70" s="337"/>
      <c r="H70" s="285"/>
      <c r="I70" s="165"/>
      <c r="J70" s="165"/>
      <c r="K70" s="165"/>
      <c r="L70" s="165"/>
      <c r="M70" s="165"/>
      <c r="N70" s="200" t="s">
        <v>712</v>
      </c>
      <c r="O70" s="165"/>
      <c r="P70" s="165"/>
      <c r="Q70" s="165"/>
      <c r="R70" s="165"/>
      <c r="S70" s="165"/>
      <c r="T70" s="165"/>
      <c r="U70" s="165"/>
      <c r="V70" s="165"/>
      <c r="W70" s="165"/>
      <c r="X70" s="200" t="s">
        <v>547</v>
      </c>
      <c r="Y70" s="20"/>
      <c r="Z70" s="20"/>
      <c r="AA70" s="20"/>
      <c r="AB70" s="20"/>
      <c r="AC70" s="20"/>
      <c r="AD70" s="20"/>
      <c r="AE70" s="20"/>
      <c r="AF70" s="20"/>
      <c r="AG70" s="20"/>
      <c r="AH70" s="280" t="s">
        <v>709</v>
      </c>
      <c r="AI70" s="128"/>
    </row>
    <row r="71" spans="1:35">
      <c r="A71" s="9" t="s">
        <v>121</v>
      </c>
      <c r="B71" s="37"/>
      <c r="C71" s="337"/>
      <c r="D71" s="337"/>
      <c r="E71" s="337"/>
      <c r="F71" s="337"/>
      <c r="G71" s="337"/>
      <c r="H71" s="285"/>
      <c r="I71" s="165"/>
      <c r="J71" s="165"/>
      <c r="K71" s="401"/>
      <c r="L71" s="401"/>
      <c r="M71" s="165"/>
      <c r="N71" s="187">
        <f>(N86/H86)^(1/6)</f>
        <v>1.2072144778917182</v>
      </c>
      <c r="O71" s="165"/>
      <c r="P71" s="165"/>
      <c r="Q71" s="165"/>
      <c r="R71" s="165"/>
      <c r="S71" s="165"/>
      <c r="T71" s="165"/>
      <c r="U71" s="165"/>
      <c r="V71" s="165"/>
      <c r="W71" s="165"/>
      <c r="X71" s="187">
        <f>(X86/N86)^(1/10)</f>
        <v>1.0544958918547662</v>
      </c>
      <c r="Y71" s="20"/>
      <c r="Z71" s="20"/>
      <c r="AA71" s="20"/>
      <c r="AB71" s="20"/>
      <c r="AC71" s="20"/>
      <c r="AD71" s="20"/>
      <c r="AE71" s="20"/>
      <c r="AF71" s="20"/>
      <c r="AG71" s="20"/>
      <c r="AH71" s="187">
        <f>(AH86/X86)^(1/10)</f>
        <v>1</v>
      </c>
      <c r="AI71" s="128"/>
    </row>
    <row r="72" spans="1:35">
      <c r="A72" s="9" t="s">
        <v>50</v>
      </c>
      <c r="B72" s="37"/>
      <c r="C72" s="337"/>
      <c r="D72" s="337"/>
      <c r="E72" s="337"/>
      <c r="F72" s="337"/>
      <c r="G72" s="337"/>
      <c r="H72" s="285"/>
      <c r="I72" s="165"/>
      <c r="J72" s="165"/>
      <c r="K72" s="401"/>
      <c r="L72" s="401"/>
      <c r="M72" s="165"/>
      <c r="N72" s="180">
        <v>0</v>
      </c>
      <c r="O72" s="165"/>
      <c r="P72" s="165"/>
      <c r="Q72" s="165"/>
      <c r="R72" s="165"/>
      <c r="S72" s="165"/>
      <c r="T72" s="165"/>
      <c r="U72" s="165"/>
      <c r="V72" s="165"/>
      <c r="W72" s="165"/>
      <c r="X72" s="187">
        <v>0</v>
      </c>
      <c r="Y72" s="20"/>
      <c r="Z72" s="20"/>
      <c r="AA72" s="20"/>
      <c r="AB72" s="20"/>
      <c r="AC72" s="20"/>
      <c r="AD72" s="20"/>
      <c r="AE72" s="20"/>
      <c r="AF72" s="20"/>
      <c r="AG72" s="20"/>
      <c r="AH72" s="187">
        <v>0</v>
      </c>
      <c r="AI72" s="128"/>
    </row>
    <row r="73" spans="1:35">
      <c r="A73" s="9" t="s">
        <v>119</v>
      </c>
      <c r="B73" s="37"/>
      <c r="C73" s="337"/>
      <c r="D73" s="337"/>
      <c r="E73" s="337"/>
      <c r="F73" s="337"/>
      <c r="G73" s="337"/>
      <c r="H73" s="285"/>
      <c r="I73" s="165"/>
      <c r="J73" s="165"/>
      <c r="K73" s="401"/>
      <c r="L73" s="401"/>
      <c r="M73" s="165"/>
      <c r="N73" s="187"/>
      <c r="O73" s="165"/>
      <c r="P73" s="165"/>
      <c r="Q73" s="165"/>
      <c r="R73" s="165"/>
      <c r="S73" s="165"/>
      <c r="T73" s="165"/>
      <c r="U73" s="165"/>
      <c r="V73" s="165"/>
      <c r="W73" s="165"/>
      <c r="X73" s="187"/>
      <c r="AH73" s="187"/>
      <c r="AI73" s="128"/>
    </row>
    <row r="74" spans="1:35">
      <c r="A74" s="9" t="s">
        <v>51</v>
      </c>
      <c r="B74" s="37"/>
      <c r="C74" s="337"/>
      <c r="D74" s="337"/>
      <c r="E74" s="337"/>
      <c r="F74" s="337"/>
      <c r="G74" s="337"/>
      <c r="H74" s="285"/>
      <c r="I74" s="165"/>
      <c r="J74" s="165"/>
      <c r="K74" s="401"/>
      <c r="L74" s="401"/>
      <c r="M74" s="165"/>
      <c r="N74" s="180">
        <f>(N89/H89)^(1/6)</f>
        <v>1.0654421191286136</v>
      </c>
      <c r="O74" s="165"/>
      <c r="P74" s="165"/>
      <c r="Q74" s="165"/>
      <c r="R74" s="165"/>
      <c r="S74" s="165"/>
      <c r="T74" s="165"/>
      <c r="U74" s="165"/>
      <c r="V74" s="165"/>
      <c r="W74" s="165"/>
      <c r="X74" s="187">
        <f>(X89/N89)^(1/10)</f>
        <v>1.0544958918547662</v>
      </c>
      <c r="AH74" s="187">
        <f>(AH89/X89)^(1/10)</f>
        <v>1</v>
      </c>
      <c r="AI74" s="128"/>
    </row>
    <row r="75" spans="1:35">
      <c r="A75" s="9" t="s">
        <v>347</v>
      </c>
      <c r="B75" s="37"/>
      <c r="C75" s="337"/>
      <c r="D75" s="337"/>
      <c r="E75" s="337"/>
      <c r="F75" s="337"/>
      <c r="G75" s="337"/>
      <c r="H75" s="285"/>
      <c r="I75" s="165"/>
      <c r="J75" s="165"/>
      <c r="K75" s="401"/>
      <c r="L75" s="401"/>
      <c r="M75" s="165"/>
      <c r="N75" s="180">
        <f>(N90/H90)^(1/6)</f>
        <v>1.0634460984517558</v>
      </c>
      <c r="O75" s="165"/>
      <c r="P75" s="165"/>
      <c r="Q75" s="165"/>
      <c r="R75" s="165"/>
      <c r="S75" s="165"/>
      <c r="T75" s="165"/>
      <c r="U75" s="165"/>
      <c r="V75" s="165"/>
      <c r="W75" s="165"/>
      <c r="X75" s="187">
        <f>(X90/N90)^(1/10)</f>
        <v>1.0544958918547662</v>
      </c>
      <c r="AH75" s="187">
        <f>(AH90/X90)^(1/10)</f>
        <v>1</v>
      </c>
      <c r="AI75" s="128"/>
    </row>
    <row r="76" spans="1:35">
      <c r="A76" s="9" t="s">
        <v>348</v>
      </c>
      <c r="B76" s="37"/>
      <c r="C76" s="337"/>
      <c r="D76" s="337"/>
      <c r="E76" s="337"/>
      <c r="F76" s="337"/>
      <c r="G76" s="337"/>
      <c r="H76" s="285"/>
      <c r="I76" s="165"/>
      <c r="J76" s="165"/>
      <c r="K76" s="401"/>
      <c r="L76" s="401"/>
      <c r="M76" s="165"/>
      <c r="N76" s="180">
        <f>(N91/H91)^(1/6)</f>
        <v>1.0634460984517558</v>
      </c>
      <c r="O76" s="165"/>
      <c r="P76" s="165"/>
      <c r="Q76" s="165"/>
      <c r="R76" s="165"/>
      <c r="S76" s="165"/>
      <c r="T76" s="165"/>
      <c r="U76" s="165"/>
      <c r="V76" s="165"/>
      <c r="W76" s="165"/>
      <c r="X76" s="187">
        <f>(X91/N91)^(1/10)</f>
        <v>1.0544958918547662</v>
      </c>
      <c r="AH76" s="187">
        <f>(AH91/X91)^(1/10)</f>
        <v>1</v>
      </c>
      <c r="AI76" s="128"/>
    </row>
    <row r="77" spans="1:35">
      <c r="A77" s="9" t="s">
        <v>344</v>
      </c>
      <c r="B77" s="37"/>
      <c r="C77" s="337"/>
      <c r="D77" s="337"/>
      <c r="E77" s="337"/>
      <c r="F77" s="337"/>
      <c r="G77" s="337"/>
      <c r="H77" s="285"/>
      <c r="I77" s="165"/>
      <c r="J77" s="165"/>
      <c r="K77" s="401"/>
      <c r="L77" s="401"/>
      <c r="M77" s="165"/>
      <c r="N77" s="180">
        <f>(N92/H92)^(1/6)</f>
        <v>1.0634460984517558</v>
      </c>
      <c r="O77" s="165"/>
      <c r="P77" s="165"/>
      <c r="Q77" s="165"/>
      <c r="R77" s="165"/>
      <c r="S77" s="165"/>
      <c r="T77" s="165"/>
      <c r="U77" s="165"/>
      <c r="V77" s="165"/>
      <c r="W77" s="165"/>
      <c r="X77" s="187">
        <f>(X92/N92)^(1/10)</f>
        <v>1.0544958918547662</v>
      </c>
      <c r="AH77" s="187">
        <f>(AH92/X92)^(1/10)</f>
        <v>1</v>
      </c>
      <c r="AI77" s="128"/>
    </row>
    <row r="78" spans="1:35">
      <c r="A78" s="9" t="s">
        <v>120</v>
      </c>
      <c r="B78" s="37"/>
      <c r="C78" s="337"/>
      <c r="D78" s="337"/>
      <c r="E78" s="337"/>
      <c r="F78" s="337"/>
      <c r="G78" s="337"/>
      <c r="H78" s="285"/>
      <c r="I78" s="165"/>
      <c r="J78" s="165"/>
      <c r="K78" s="401"/>
      <c r="L78" s="401"/>
      <c r="M78" s="165"/>
      <c r="N78" s="187"/>
      <c r="O78" s="165"/>
      <c r="P78" s="165"/>
      <c r="Q78" s="165"/>
      <c r="R78" s="165"/>
      <c r="S78" s="165"/>
      <c r="T78" s="165"/>
      <c r="U78" s="165"/>
      <c r="V78" s="165"/>
      <c r="W78" s="165"/>
      <c r="X78" s="187" t="s">
        <v>0</v>
      </c>
      <c r="AH78" s="187" t="s">
        <v>0</v>
      </c>
      <c r="AI78" s="128"/>
    </row>
    <row r="79" spans="1:35">
      <c r="A79" s="9" t="s">
        <v>53</v>
      </c>
      <c r="B79" s="37"/>
      <c r="C79" s="337"/>
      <c r="D79" s="337"/>
      <c r="E79" s="337"/>
      <c r="F79" s="337"/>
      <c r="G79" s="337"/>
      <c r="H79" s="285"/>
      <c r="I79" s="165"/>
      <c r="J79" s="165"/>
      <c r="K79" s="401"/>
      <c r="L79" s="401"/>
      <c r="M79" s="165"/>
      <c r="N79" s="180">
        <v>0</v>
      </c>
      <c r="O79" s="165"/>
      <c r="P79" s="165"/>
      <c r="Q79" s="165"/>
      <c r="R79" s="165"/>
      <c r="S79" s="165"/>
      <c r="T79" s="165"/>
      <c r="U79" s="165"/>
      <c r="V79" s="165"/>
      <c r="W79" s="165"/>
      <c r="X79" s="187">
        <v>0</v>
      </c>
      <c r="AH79" s="187">
        <v>0</v>
      </c>
      <c r="AI79" s="128"/>
    </row>
    <row r="80" spans="1:35">
      <c r="A80" s="10"/>
      <c r="B80" s="37"/>
      <c r="C80" s="337"/>
      <c r="D80" s="337"/>
      <c r="E80" s="337"/>
      <c r="F80" s="337"/>
      <c r="G80" s="337"/>
      <c r="H80" s="285"/>
      <c r="I80" s="165"/>
      <c r="J80" s="165"/>
      <c r="K80" s="165"/>
      <c r="L80" s="165"/>
      <c r="M80" s="165"/>
      <c r="N80" s="181"/>
      <c r="O80" s="165"/>
      <c r="P80" s="165"/>
      <c r="Q80" s="165"/>
      <c r="R80" s="165"/>
      <c r="S80" s="165"/>
      <c r="T80" s="165"/>
      <c r="U80" s="165"/>
      <c r="V80" s="165"/>
      <c r="W80" s="165"/>
      <c r="X80" s="186"/>
      <c r="AI80" s="128"/>
    </row>
    <row r="81" spans="1:35">
      <c r="A81" s="1" t="s">
        <v>548</v>
      </c>
      <c r="B81" s="37"/>
      <c r="C81" s="337"/>
      <c r="D81" s="337"/>
      <c r="E81" s="337"/>
      <c r="F81" s="337"/>
      <c r="G81" s="337"/>
      <c r="H81" s="285"/>
      <c r="I81" s="165"/>
      <c r="J81" s="165"/>
      <c r="K81" s="165"/>
      <c r="L81" s="165"/>
      <c r="M81" s="165"/>
      <c r="N81" s="185" t="s">
        <v>0</v>
      </c>
      <c r="O81" s="165"/>
      <c r="P81" s="165"/>
      <c r="Q81" s="165"/>
      <c r="R81" s="165"/>
      <c r="S81" s="165"/>
      <c r="T81" s="165"/>
      <c r="U81" s="165"/>
      <c r="V81" s="165"/>
      <c r="W81" s="165"/>
      <c r="X81" s="186"/>
      <c r="AI81" s="128"/>
    </row>
    <row r="82" spans="1:35">
      <c r="A82" s="9" t="s">
        <v>282</v>
      </c>
      <c r="B82" s="37"/>
      <c r="C82" s="337"/>
      <c r="D82" s="337"/>
      <c r="E82" s="337"/>
      <c r="F82" s="337"/>
      <c r="G82" s="337"/>
      <c r="H82" s="285"/>
      <c r="I82" s="165"/>
      <c r="J82" s="165"/>
      <c r="K82" s="165"/>
      <c r="L82" s="165"/>
      <c r="M82" s="165"/>
      <c r="N82" s="186" t="s">
        <v>0</v>
      </c>
      <c r="O82" s="165"/>
      <c r="P82" s="165"/>
      <c r="Q82" s="165"/>
      <c r="R82" s="165"/>
      <c r="S82" s="165"/>
      <c r="T82" s="165"/>
      <c r="U82" s="165"/>
      <c r="V82" s="165"/>
      <c r="W82" s="165"/>
      <c r="X82" s="186"/>
      <c r="AI82" s="128"/>
    </row>
    <row r="83" spans="1:35">
      <c r="A83" s="20" t="s">
        <v>122</v>
      </c>
      <c r="B83" s="37"/>
      <c r="C83" s="337"/>
      <c r="D83" s="337"/>
      <c r="E83" s="337"/>
      <c r="F83" s="337"/>
      <c r="G83" s="337"/>
      <c r="H83" s="285"/>
      <c r="I83" s="165"/>
      <c r="J83" s="165"/>
      <c r="K83" s="165"/>
      <c r="L83" s="165"/>
      <c r="M83" s="165"/>
      <c r="N83" s="181"/>
      <c r="O83" s="165"/>
      <c r="P83" s="165"/>
      <c r="Q83" s="165"/>
      <c r="R83" s="165"/>
      <c r="S83" s="165"/>
      <c r="T83" s="165"/>
      <c r="U83" s="165"/>
      <c r="V83" s="165"/>
      <c r="W83" s="165"/>
      <c r="X83" s="186"/>
      <c r="AI83" s="128"/>
    </row>
    <row r="84" spans="1:35">
      <c r="A84" s="9" t="s">
        <v>49</v>
      </c>
      <c r="B84" s="37"/>
      <c r="C84" s="341">
        <f t="shared" ref="C84:AH84" si="70">C31/C$49</f>
        <v>2.070950487285762E-2</v>
      </c>
      <c r="D84" s="341">
        <f t="shared" si="70"/>
        <v>2.0479354055578745E-2</v>
      </c>
      <c r="E84" s="341">
        <f t="shared" si="70"/>
        <v>2.024920323829987E-2</v>
      </c>
      <c r="F84" s="341">
        <f t="shared" si="70"/>
        <v>2.0019052421020995E-2</v>
      </c>
      <c r="G84" s="341">
        <f t="shared" si="70"/>
        <v>1.978890160374212E-2</v>
      </c>
      <c r="H84" s="402">
        <f t="shared" si="70"/>
        <v>2.0050855371983114E-2</v>
      </c>
      <c r="I84" s="116">
        <f t="shared" si="70"/>
        <v>1.9738687123784258E-2</v>
      </c>
      <c r="J84" s="116">
        <f t="shared" si="70"/>
        <v>1.9426518875585403E-2</v>
      </c>
      <c r="K84" s="116">
        <f t="shared" si="70"/>
        <v>1.9114350627386548E-2</v>
      </c>
      <c r="L84" s="116">
        <f t="shared" si="70"/>
        <v>1.8802182379187692E-2</v>
      </c>
      <c r="M84" s="116">
        <f t="shared" si="70"/>
        <v>1.8490014130988837E-2</v>
      </c>
      <c r="N84" s="179">
        <f t="shared" si="70"/>
        <v>1.8177845882789978E-2</v>
      </c>
      <c r="O84" s="116">
        <f t="shared" si="70"/>
        <v>1.7880079054585364E-2</v>
      </c>
      <c r="P84" s="116">
        <f t="shared" si="70"/>
        <v>1.758231222638075E-2</v>
      </c>
      <c r="Q84" s="116">
        <f t="shared" si="70"/>
        <v>1.7284545398176136E-2</v>
      </c>
      <c r="R84" s="116">
        <f t="shared" si="70"/>
        <v>1.6986778569971522E-2</v>
      </c>
      <c r="S84" s="116">
        <f t="shared" si="70"/>
        <v>1.6689011741766908E-2</v>
      </c>
      <c r="T84" s="116">
        <f t="shared" si="70"/>
        <v>1.6391244913562295E-2</v>
      </c>
      <c r="U84" s="116">
        <f t="shared" si="70"/>
        <v>1.6093478085357681E-2</v>
      </c>
      <c r="V84" s="116">
        <f t="shared" si="70"/>
        <v>1.5795711257153067E-2</v>
      </c>
      <c r="W84" s="116">
        <f t="shared" si="70"/>
        <v>1.5497944428948453E-2</v>
      </c>
      <c r="X84" s="179">
        <f t="shared" si="70"/>
        <v>1.5200177600743832E-2</v>
      </c>
      <c r="Y84" s="174">
        <f t="shared" si="70"/>
        <v>1.5047076465799086E-2</v>
      </c>
      <c r="Z84" s="174">
        <f t="shared" si="70"/>
        <v>1.4893975330854337E-2</v>
      </c>
      <c r="AA84" s="174">
        <f t="shared" si="70"/>
        <v>1.474087419590959E-2</v>
      </c>
      <c r="AB84" s="174">
        <f t="shared" si="70"/>
        <v>1.4587773060964843E-2</v>
      </c>
      <c r="AC84" s="174">
        <f t="shared" si="70"/>
        <v>1.4434671926020095E-2</v>
      </c>
      <c r="AD84" s="174">
        <f t="shared" si="70"/>
        <v>1.428157079107535E-2</v>
      </c>
      <c r="AE84" s="174">
        <f t="shared" si="70"/>
        <v>1.4128469656130601E-2</v>
      </c>
      <c r="AF84" s="174">
        <f t="shared" si="70"/>
        <v>1.3975368521185853E-2</v>
      </c>
      <c r="AG84" s="174">
        <f t="shared" si="70"/>
        <v>1.3822267386241104E-2</v>
      </c>
      <c r="AH84" s="179">
        <f t="shared" si="70"/>
        <v>1.3669166251296366E-2</v>
      </c>
      <c r="AI84" s="128"/>
    </row>
    <row r="85" spans="1:35">
      <c r="A85" s="9" t="s">
        <v>59</v>
      </c>
      <c r="B85" s="37"/>
      <c r="C85" s="341">
        <f t="shared" ref="C85:AH85" si="71">C32/C$49</f>
        <v>0.39503752660468233</v>
      </c>
      <c r="D85" s="341">
        <f t="shared" si="71"/>
        <v>0.39135479453725447</v>
      </c>
      <c r="E85" s="341">
        <f t="shared" si="71"/>
        <v>0.38767206246982661</v>
      </c>
      <c r="F85" s="341">
        <f t="shared" si="71"/>
        <v>0.38398933040239874</v>
      </c>
      <c r="G85" s="341">
        <f t="shared" si="71"/>
        <v>0.38030659833497088</v>
      </c>
      <c r="H85" s="402">
        <f t="shared" si="71"/>
        <v>0.35092313970548333</v>
      </c>
      <c r="I85" s="116">
        <f t="shared" si="71"/>
        <v>0.35152386206506542</v>
      </c>
      <c r="J85" s="116">
        <f t="shared" si="71"/>
        <v>0.3521245844246475</v>
      </c>
      <c r="K85" s="116">
        <f t="shared" si="71"/>
        <v>0.35272530678422959</v>
      </c>
      <c r="L85" s="116">
        <f t="shared" si="71"/>
        <v>0.35332602914381167</v>
      </c>
      <c r="M85" s="116">
        <f t="shared" si="71"/>
        <v>0.35392675150339376</v>
      </c>
      <c r="N85" s="179">
        <f t="shared" si="71"/>
        <v>0.35452747386297584</v>
      </c>
      <c r="O85" s="116">
        <f t="shared" si="71"/>
        <v>0.34872004639966353</v>
      </c>
      <c r="P85" s="116">
        <f t="shared" si="71"/>
        <v>0.34291261893635122</v>
      </c>
      <c r="Q85" s="116">
        <f t="shared" si="71"/>
        <v>0.33710519147303891</v>
      </c>
      <c r="R85" s="116">
        <f t="shared" si="71"/>
        <v>0.3312977640097266</v>
      </c>
      <c r="S85" s="116">
        <f t="shared" si="71"/>
        <v>0.32549033654641429</v>
      </c>
      <c r="T85" s="116">
        <f t="shared" si="71"/>
        <v>0.31968290908310198</v>
      </c>
      <c r="U85" s="116">
        <f t="shared" si="71"/>
        <v>0.31387548161978968</v>
      </c>
      <c r="V85" s="116">
        <f t="shared" si="71"/>
        <v>0.30806805415647737</v>
      </c>
      <c r="W85" s="116">
        <f t="shared" si="71"/>
        <v>0.30226062669316506</v>
      </c>
      <c r="X85" s="179">
        <f t="shared" si="71"/>
        <v>0.29645319922985297</v>
      </c>
      <c r="Y85" s="174">
        <f t="shared" si="71"/>
        <v>0.29346722614109966</v>
      </c>
      <c r="Z85" s="174">
        <f t="shared" si="71"/>
        <v>0.29048125305234634</v>
      </c>
      <c r="AA85" s="174">
        <f t="shared" si="71"/>
        <v>0.28749527996359303</v>
      </c>
      <c r="AB85" s="174">
        <f t="shared" si="71"/>
        <v>0.28450930687483972</v>
      </c>
      <c r="AC85" s="174">
        <f t="shared" si="71"/>
        <v>0.2815233337860864</v>
      </c>
      <c r="AD85" s="174">
        <f t="shared" si="71"/>
        <v>0.27853736069733309</v>
      </c>
      <c r="AE85" s="174">
        <f t="shared" si="71"/>
        <v>0.27555138760857978</v>
      </c>
      <c r="AF85" s="174">
        <f t="shared" si="71"/>
        <v>0.27256541451982647</v>
      </c>
      <c r="AG85" s="174">
        <f t="shared" si="71"/>
        <v>0.26957944143107315</v>
      </c>
      <c r="AH85" s="179">
        <f t="shared" si="71"/>
        <v>0.26659346834232006</v>
      </c>
      <c r="AI85" s="128"/>
    </row>
    <row r="86" spans="1:35" s="253" customFormat="1">
      <c r="A86" s="10" t="s">
        <v>121</v>
      </c>
      <c r="B86" s="37"/>
      <c r="C86" s="416">
        <f t="shared" ref="C86:AH86" si="72">C34/C$49</f>
        <v>2.3916209252828492E-2</v>
      </c>
      <c r="D86" s="341">
        <f t="shared" si="72"/>
        <v>2.8871994066302427E-2</v>
      </c>
      <c r="E86" s="341">
        <f t="shared" si="72"/>
        <v>3.4854689242444073E-2</v>
      </c>
      <c r="F86" s="341">
        <f t="shared" si="72"/>
        <v>4.2077085475895205E-2</v>
      </c>
      <c r="G86" s="341">
        <f t="shared" si="72"/>
        <v>5.0796066773988027E-2</v>
      </c>
      <c r="H86" s="415">
        <f t="shared" si="72"/>
        <v>2.675539507544519E-2</v>
      </c>
      <c r="I86" s="402">
        <f t="shared" si="72"/>
        <v>3.2299500296790212E-2</v>
      </c>
      <c r="J86" s="402">
        <f t="shared" si="72"/>
        <v>3.9338334796432367E-2</v>
      </c>
      <c r="K86" s="402">
        <f t="shared" si="72"/>
        <v>4.707221924802777E-2</v>
      </c>
      <c r="L86" s="402">
        <f t="shared" si="72"/>
        <v>5.6826264582712324E-2</v>
      </c>
      <c r="M86" s="402">
        <f t="shared" si="72"/>
        <v>6.8601489328755691E-2</v>
      </c>
      <c r="N86" s="403">
        <f>N34/N$49</f>
        <v>8.2816711122608078E-2</v>
      </c>
      <c r="O86" s="402">
        <f t="shared" si="72"/>
        <v>8.7329881655713149E-2</v>
      </c>
      <c r="P86" s="402">
        <f t="shared" si="72"/>
        <v>9.208900144211242E-2</v>
      </c>
      <c r="Q86" s="402">
        <f t="shared" si="72"/>
        <v>9.7107473705715194E-2</v>
      </c>
      <c r="R86" s="402">
        <f t="shared" si="72"/>
        <v>0.1023994320910714</v>
      </c>
      <c r="S86" s="402">
        <f t="shared" si="72"/>
        <v>0.1079797804682959</v>
      </c>
      <c r="T86" s="402">
        <f t="shared" si="72"/>
        <v>0.11386423490719755</v>
      </c>
      <c r="U86" s="402">
        <f t="shared" si="72"/>
        <v>0.12006936793882589</v>
      </c>
      <c r="V86" s="402">
        <f t="shared" si="72"/>
        <v>0.12661265522909027</v>
      </c>
      <c r="W86" s="402">
        <f t="shared" si="72"/>
        <v>0.13351252479589956</v>
      </c>
      <c r="X86" s="403">
        <f t="shared" si="72"/>
        <v>0.14078840890843372</v>
      </c>
      <c r="Y86" s="402">
        <f>Y34/Y$49</f>
        <v>0.14078840890843372</v>
      </c>
      <c r="Z86" s="402">
        <f t="shared" si="72"/>
        <v>0.14078840890843372</v>
      </c>
      <c r="AA86" s="402">
        <f t="shared" si="72"/>
        <v>0.14078840890843372</v>
      </c>
      <c r="AB86" s="402">
        <f t="shared" si="72"/>
        <v>0.14078840890843372</v>
      </c>
      <c r="AC86" s="402">
        <f t="shared" si="72"/>
        <v>0.14078840890843372</v>
      </c>
      <c r="AD86" s="402">
        <f t="shared" si="72"/>
        <v>0.14078840890843372</v>
      </c>
      <c r="AE86" s="402">
        <f t="shared" si="72"/>
        <v>0.14078840890843372</v>
      </c>
      <c r="AF86" s="402">
        <f t="shared" si="72"/>
        <v>0.14078840890843372</v>
      </c>
      <c r="AG86" s="402">
        <f t="shared" si="72"/>
        <v>0.14078840890843372</v>
      </c>
      <c r="AH86" s="403">
        <f t="shared" si="72"/>
        <v>0.14078840890843372</v>
      </c>
      <c r="AI86" s="297"/>
    </row>
    <row r="87" spans="1:35">
      <c r="A87" s="9" t="s">
        <v>50</v>
      </c>
      <c r="B87" s="37"/>
      <c r="C87" s="416">
        <f t="shared" ref="C87:AH87" si="73">C35/C$49</f>
        <v>0</v>
      </c>
      <c r="D87" s="341">
        <f t="shared" si="73"/>
        <v>0</v>
      </c>
      <c r="E87" s="341">
        <f t="shared" si="73"/>
        <v>0</v>
      </c>
      <c r="F87" s="341">
        <f t="shared" si="73"/>
        <v>0</v>
      </c>
      <c r="G87" s="341">
        <f t="shared" si="73"/>
        <v>0</v>
      </c>
      <c r="H87" s="415">
        <f t="shared" si="73"/>
        <v>0</v>
      </c>
      <c r="I87" s="116">
        <f t="shared" si="73"/>
        <v>0</v>
      </c>
      <c r="J87" s="116">
        <f>J35/J$49</f>
        <v>0</v>
      </c>
      <c r="K87" s="116">
        <f t="shared" si="73"/>
        <v>0</v>
      </c>
      <c r="L87" s="116">
        <f t="shared" si="73"/>
        <v>0</v>
      </c>
      <c r="M87" s="116">
        <f t="shared" si="73"/>
        <v>0</v>
      </c>
      <c r="N87" s="179">
        <f t="shared" si="73"/>
        <v>0</v>
      </c>
      <c r="O87" s="116">
        <f t="shared" si="73"/>
        <v>0</v>
      </c>
      <c r="P87" s="116">
        <f t="shared" si="73"/>
        <v>0</v>
      </c>
      <c r="Q87" s="116">
        <f t="shared" si="73"/>
        <v>0</v>
      </c>
      <c r="R87" s="116">
        <f t="shared" si="73"/>
        <v>0</v>
      </c>
      <c r="S87" s="116">
        <f t="shared" si="73"/>
        <v>0</v>
      </c>
      <c r="T87" s="116">
        <f t="shared" si="73"/>
        <v>0</v>
      </c>
      <c r="U87" s="116">
        <f t="shared" si="73"/>
        <v>0</v>
      </c>
      <c r="V87" s="116">
        <f t="shared" si="73"/>
        <v>0</v>
      </c>
      <c r="W87" s="116">
        <f t="shared" si="73"/>
        <v>0</v>
      </c>
      <c r="X87" s="179">
        <f t="shared" si="73"/>
        <v>0</v>
      </c>
      <c r="Y87" s="174">
        <f t="shared" si="73"/>
        <v>0</v>
      </c>
      <c r="Z87" s="174">
        <f t="shared" si="73"/>
        <v>0</v>
      </c>
      <c r="AA87" s="174">
        <f t="shared" si="73"/>
        <v>0</v>
      </c>
      <c r="AB87" s="174">
        <f t="shared" si="73"/>
        <v>0</v>
      </c>
      <c r="AC87" s="174">
        <f t="shared" si="73"/>
        <v>0</v>
      </c>
      <c r="AD87" s="174">
        <f t="shared" si="73"/>
        <v>0</v>
      </c>
      <c r="AE87" s="174">
        <f t="shared" si="73"/>
        <v>0</v>
      </c>
      <c r="AF87" s="174">
        <f t="shared" si="73"/>
        <v>0</v>
      </c>
      <c r="AG87" s="174">
        <f t="shared" si="73"/>
        <v>0</v>
      </c>
      <c r="AH87" s="179">
        <f t="shared" si="73"/>
        <v>0</v>
      </c>
      <c r="AI87" s="128"/>
    </row>
    <row r="88" spans="1:35">
      <c r="A88" s="9" t="s">
        <v>119</v>
      </c>
      <c r="B88" s="37"/>
      <c r="C88" s="416">
        <f t="shared" ref="C88:AH88" si="74">C36/C$49</f>
        <v>0</v>
      </c>
      <c r="D88" s="341">
        <f t="shared" si="74"/>
        <v>0</v>
      </c>
      <c r="E88" s="341">
        <f t="shared" si="74"/>
        <v>0</v>
      </c>
      <c r="F88" s="341">
        <f t="shared" si="74"/>
        <v>0</v>
      </c>
      <c r="G88" s="341">
        <f t="shared" si="74"/>
        <v>0</v>
      </c>
      <c r="H88" s="415">
        <f t="shared" si="74"/>
        <v>0</v>
      </c>
      <c r="I88" s="116">
        <f t="shared" si="74"/>
        <v>0</v>
      </c>
      <c r="J88" s="116">
        <f t="shared" si="74"/>
        <v>0</v>
      </c>
      <c r="K88" s="116">
        <f t="shared" si="74"/>
        <v>0</v>
      </c>
      <c r="L88" s="116">
        <f t="shared" si="74"/>
        <v>0</v>
      </c>
      <c r="M88" s="116">
        <f t="shared" si="74"/>
        <v>0</v>
      </c>
      <c r="N88" s="179">
        <f t="shared" si="74"/>
        <v>0</v>
      </c>
      <c r="O88" s="116">
        <f t="shared" si="74"/>
        <v>0</v>
      </c>
      <c r="P88" s="116">
        <f t="shared" si="74"/>
        <v>0</v>
      </c>
      <c r="Q88" s="116">
        <f t="shared" si="74"/>
        <v>0</v>
      </c>
      <c r="R88" s="116">
        <f t="shared" si="74"/>
        <v>0</v>
      </c>
      <c r="S88" s="116">
        <f t="shared" si="74"/>
        <v>0</v>
      </c>
      <c r="T88" s="116">
        <f t="shared" si="74"/>
        <v>0</v>
      </c>
      <c r="U88" s="116">
        <f t="shared" si="74"/>
        <v>0</v>
      </c>
      <c r="V88" s="116">
        <f t="shared" si="74"/>
        <v>0</v>
      </c>
      <c r="W88" s="116">
        <f t="shared" si="74"/>
        <v>0</v>
      </c>
      <c r="X88" s="179">
        <f t="shared" si="74"/>
        <v>0</v>
      </c>
      <c r="Y88" s="174">
        <f t="shared" si="74"/>
        <v>0</v>
      </c>
      <c r="Z88" s="174">
        <f t="shared" si="74"/>
        <v>0</v>
      </c>
      <c r="AA88" s="174">
        <f t="shared" si="74"/>
        <v>0</v>
      </c>
      <c r="AB88" s="174">
        <f t="shared" si="74"/>
        <v>0</v>
      </c>
      <c r="AC88" s="174">
        <f t="shared" si="74"/>
        <v>0</v>
      </c>
      <c r="AD88" s="174">
        <f t="shared" si="74"/>
        <v>0</v>
      </c>
      <c r="AE88" s="174">
        <f t="shared" si="74"/>
        <v>0</v>
      </c>
      <c r="AF88" s="174">
        <f t="shared" si="74"/>
        <v>0</v>
      </c>
      <c r="AG88" s="174">
        <f t="shared" si="74"/>
        <v>0</v>
      </c>
      <c r="AH88" s="179">
        <f t="shared" si="74"/>
        <v>0</v>
      </c>
      <c r="AI88" s="128"/>
    </row>
    <row r="89" spans="1:35">
      <c r="A89" s="9" t="s">
        <v>51</v>
      </c>
      <c r="B89" s="37"/>
      <c r="C89" s="416">
        <f t="shared" ref="C89:AH89" si="75">C37/C$49</f>
        <v>9.7317127814495336E-3</v>
      </c>
      <c r="D89" s="341">
        <f t="shared" si="75"/>
        <v>1.0771317673287938E-2</v>
      </c>
      <c r="E89" s="341">
        <f t="shared" si="75"/>
        <v>1.2915428025747541E-2</v>
      </c>
      <c r="F89" s="341">
        <f t="shared" si="75"/>
        <v>1.4704162868225358E-2</v>
      </c>
      <c r="G89" s="341">
        <f t="shared" si="75"/>
        <v>1.2540323158425326E-2</v>
      </c>
      <c r="H89" s="415">
        <f t="shared" si="75"/>
        <v>1.1743027978715889E-2</v>
      </c>
      <c r="I89" s="116">
        <f t="shared" si="75"/>
        <v>1.2511516614629658E-2</v>
      </c>
      <c r="J89" s="116">
        <f t="shared" si="75"/>
        <v>1.333029677540388E-2</v>
      </c>
      <c r="K89" s="116">
        <f t="shared" si="75"/>
        <v>1.4202659644999636E-2</v>
      </c>
      <c r="L89" s="116">
        <f t="shared" si="75"/>
        <v>1.5132111789430856E-2</v>
      </c>
      <c r="M89" s="116">
        <f t="shared" si="75"/>
        <v>1.612238925182229E-2</v>
      </c>
      <c r="N89" s="179">
        <f t="shared" si="75"/>
        <v>1.7177472569877911E-2</v>
      </c>
      <c r="O89" s="116">
        <f t="shared" si="75"/>
        <v>1.8113574257384205E-2</v>
      </c>
      <c r="P89" s="116">
        <f t="shared" si="75"/>
        <v>1.9100689641217892E-2</v>
      </c>
      <c r="Q89" s="116">
        <f t="shared" si="75"/>
        <v>2.0141598758257155E-2</v>
      </c>
      <c r="R89" s="116">
        <f t="shared" si="75"/>
        <v>2.1239233145969229E-2</v>
      </c>
      <c r="S89" s="116">
        <f t="shared" si="75"/>
        <v>2.2396684098570135E-2</v>
      </c>
      <c r="T89" s="116">
        <f t="shared" si="75"/>
        <v>2.3617211373111176E-2</v>
      </c>
      <c r="U89" s="116">
        <f t="shared" si="75"/>
        <v>2.4904252370011395E-2</v>
      </c>
      <c r="V89" s="116">
        <f t="shared" si="75"/>
        <v>2.6261431813891345E-2</v>
      </c>
      <c r="W89" s="116">
        <f t="shared" si="75"/>
        <v>2.7692571961972483E-2</v>
      </c>
      <c r="X89" s="179">
        <f t="shared" si="75"/>
        <v>2.9201703368792447E-2</v>
      </c>
      <c r="Y89" s="174">
        <f t="shared" si="75"/>
        <v>2.9201703368792447E-2</v>
      </c>
      <c r="Z89" s="174">
        <f t="shared" si="75"/>
        <v>2.9201703368792447E-2</v>
      </c>
      <c r="AA89" s="174">
        <f t="shared" si="75"/>
        <v>2.9201703368792447E-2</v>
      </c>
      <c r="AB89" s="174">
        <f t="shared" si="75"/>
        <v>2.9201703368792447E-2</v>
      </c>
      <c r="AC89" s="174">
        <f t="shared" si="75"/>
        <v>2.9201703368792447E-2</v>
      </c>
      <c r="AD89" s="174">
        <f t="shared" si="75"/>
        <v>2.9201703368792447E-2</v>
      </c>
      <c r="AE89" s="174">
        <f t="shared" si="75"/>
        <v>2.9201703368792447E-2</v>
      </c>
      <c r="AF89" s="174">
        <f t="shared" si="75"/>
        <v>2.9201703368792447E-2</v>
      </c>
      <c r="AG89" s="174">
        <f t="shared" si="75"/>
        <v>2.9201703368792447E-2</v>
      </c>
      <c r="AH89" s="179">
        <f t="shared" si="75"/>
        <v>2.9201703368792443E-2</v>
      </c>
      <c r="AI89" s="128"/>
    </row>
    <row r="90" spans="1:35" s="253" customFormat="1">
      <c r="A90" s="10" t="s">
        <v>347</v>
      </c>
      <c r="B90" s="37"/>
      <c r="C90" s="416">
        <f t="shared" ref="C90:AH90" si="76">C38/C$49</f>
        <v>0</v>
      </c>
      <c r="D90" s="341">
        <f t="shared" si="76"/>
        <v>0</v>
      </c>
      <c r="E90" s="341">
        <f t="shared" si="76"/>
        <v>2.6214599716506936E-6</v>
      </c>
      <c r="F90" s="341">
        <f t="shared" si="76"/>
        <v>2.5255459375743941E-6</v>
      </c>
      <c r="G90" s="341">
        <f t="shared" si="76"/>
        <v>2.620451742677317E-6</v>
      </c>
      <c r="H90" s="415">
        <f t="shared" si="76"/>
        <v>2.5943153680301956E-6</v>
      </c>
      <c r="I90" s="402">
        <f t="shared" si="76"/>
        <v>2.7589145562851425E-6</v>
      </c>
      <c r="J90" s="402">
        <f t="shared" si="76"/>
        <v>2.9339569208431914E-6</v>
      </c>
      <c r="K90" s="402">
        <f t="shared" si="76"/>
        <v>3.1201050404962186E-6</v>
      </c>
      <c r="L90" s="402">
        <f t="shared" si="76"/>
        <v>3.3180635320753608E-6</v>
      </c>
      <c r="M90" s="402">
        <f t="shared" si="76"/>
        <v>3.5285817176005955E-6</v>
      </c>
      <c r="N90" s="403">
        <f t="shared" si="76"/>
        <v>3.7524564606505494E-6</v>
      </c>
      <c r="O90" s="402">
        <f t="shared" si="76"/>
        <v>3.9569499221198787E-6</v>
      </c>
      <c r="P90" s="402">
        <f t="shared" si="76"/>
        <v>4.1725874371504489E-6</v>
      </c>
      <c r="Q90" s="402">
        <f t="shared" si="76"/>
        <v>4.3999763108799555E-6</v>
      </c>
      <c r="R90" s="402">
        <f t="shared" si="76"/>
        <v>4.6397569440812031E-6</v>
      </c>
      <c r="S90" s="402">
        <f t="shared" si="76"/>
        <v>4.8926046367382526E-6</v>
      </c>
      <c r="T90" s="402">
        <f t="shared" si="76"/>
        <v>5.1592314899100673E-6</v>
      </c>
      <c r="U90" s="402">
        <f t="shared" si="76"/>
        <v>5.4403884112379113E-6</v>
      </c>
      <c r="V90" s="402">
        <f t="shared" si="76"/>
        <v>5.736867229744656E-6</v>
      </c>
      <c r="W90" s="402">
        <f t="shared" si="76"/>
        <v>6.0495029258819728E-6</v>
      </c>
      <c r="X90" s="403">
        <f t="shared" si="76"/>
        <v>6.3791759831059304E-6</v>
      </c>
      <c r="Y90" s="402">
        <f t="shared" si="76"/>
        <v>6.3791759831059313E-6</v>
      </c>
      <c r="Z90" s="402">
        <f t="shared" si="76"/>
        <v>6.3791759831059296E-6</v>
      </c>
      <c r="AA90" s="402">
        <f t="shared" si="76"/>
        <v>6.3791759831059296E-6</v>
      </c>
      <c r="AB90" s="402">
        <f t="shared" si="76"/>
        <v>6.3791759831059304E-6</v>
      </c>
      <c r="AC90" s="402">
        <f t="shared" si="76"/>
        <v>6.3791759831059304E-6</v>
      </c>
      <c r="AD90" s="402">
        <f t="shared" si="76"/>
        <v>6.3791759831059296E-6</v>
      </c>
      <c r="AE90" s="402">
        <f t="shared" si="76"/>
        <v>6.3791759831059304E-6</v>
      </c>
      <c r="AF90" s="402">
        <f t="shared" si="76"/>
        <v>6.3791759831059304E-6</v>
      </c>
      <c r="AG90" s="402">
        <f t="shared" si="76"/>
        <v>6.3791759831059304E-6</v>
      </c>
      <c r="AH90" s="403">
        <f t="shared" si="76"/>
        <v>6.3791759831059313E-6</v>
      </c>
      <c r="AI90" s="297"/>
    </row>
    <row r="91" spans="1:35" s="253" customFormat="1">
      <c r="A91" s="10" t="s">
        <v>348</v>
      </c>
      <c r="B91" s="37"/>
      <c r="C91" s="416">
        <f t="shared" ref="C91:AH91" si="77">C39/C$49</f>
        <v>0</v>
      </c>
      <c r="D91" s="341">
        <f t="shared" si="77"/>
        <v>0</v>
      </c>
      <c r="E91" s="341">
        <f t="shared" si="77"/>
        <v>1.3107299858253468E-6</v>
      </c>
      <c r="F91" s="341">
        <f t="shared" si="77"/>
        <v>1.262772968787197E-6</v>
      </c>
      <c r="G91" s="341">
        <f t="shared" si="77"/>
        <v>1.3102258713386585E-6</v>
      </c>
      <c r="H91" s="415">
        <f t="shared" si="77"/>
        <v>1.2971576840150978E-6</v>
      </c>
      <c r="I91" s="402">
        <f t="shared" si="77"/>
        <v>1.3794572781425712E-6</v>
      </c>
      <c r="J91" s="402">
        <f t="shared" si="77"/>
        <v>1.4669784604215957E-6</v>
      </c>
      <c r="K91" s="402">
        <f t="shared" si="77"/>
        <v>1.5600525202481093E-6</v>
      </c>
      <c r="L91" s="402">
        <f t="shared" si="77"/>
        <v>1.6590317660376804E-6</v>
      </c>
      <c r="M91" s="402">
        <f t="shared" si="77"/>
        <v>1.7642908588002978E-6</v>
      </c>
      <c r="N91" s="403">
        <f t="shared" si="77"/>
        <v>1.8762282303252747E-6</v>
      </c>
      <c r="O91" s="402">
        <f t="shared" si="77"/>
        <v>1.9784749610599393E-6</v>
      </c>
      <c r="P91" s="402">
        <f t="shared" si="77"/>
        <v>2.0862937185752244E-6</v>
      </c>
      <c r="Q91" s="402">
        <f t="shared" si="77"/>
        <v>2.1999881554399777E-6</v>
      </c>
      <c r="R91" s="402">
        <f t="shared" si="77"/>
        <v>2.3198784720406015E-6</v>
      </c>
      <c r="S91" s="402">
        <f t="shared" si="77"/>
        <v>2.4463023183691263E-6</v>
      </c>
      <c r="T91" s="402">
        <f t="shared" si="77"/>
        <v>2.5796157449550337E-6</v>
      </c>
      <c r="U91" s="402">
        <f t="shared" si="77"/>
        <v>2.7201942056189556E-6</v>
      </c>
      <c r="V91" s="402">
        <f t="shared" si="77"/>
        <v>2.868433614872328E-6</v>
      </c>
      <c r="W91" s="402">
        <f t="shared" si="77"/>
        <v>3.0247514629409864E-6</v>
      </c>
      <c r="X91" s="403">
        <f t="shared" si="77"/>
        <v>3.1895879915529652E-6</v>
      </c>
      <c r="Y91" s="402">
        <f t="shared" si="77"/>
        <v>3.1895879915529656E-6</v>
      </c>
      <c r="Z91" s="402">
        <f t="shared" si="77"/>
        <v>3.1895879915529648E-6</v>
      </c>
      <c r="AA91" s="402">
        <f t="shared" si="77"/>
        <v>3.1895879915529648E-6</v>
      </c>
      <c r="AB91" s="402">
        <f t="shared" si="77"/>
        <v>3.1895879915529652E-6</v>
      </c>
      <c r="AC91" s="402">
        <f t="shared" si="77"/>
        <v>3.1895879915529652E-6</v>
      </c>
      <c r="AD91" s="402">
        <f t="shared" si="77"/>
        <v>3.1895879915529648E-6</v>
      </c>
      <c r="AE91" s="402">
        <f t="shared" si="77"/>
        <v>3.1895879915529652E-6</v>
      </c>
      <c r="AF91" s="402">
        <f t="shared" si="77"/>
        <v>3.1895879915529652E-6</v>
      </c>
      <c r="AG91" s="402">
        <f t="shared" si="77"/>
        <v>3.1895879915529652E-6</v>
      </c>
      <c r="AH91" s="403">
        <f t="shared" si="77"/>
        <v>3.1895879915529656E-6</v>
      </c>
      <c r="AI91" s="297"/>
    </row>
    <row r="92" spans="1:35">
      <c r="A92" s="9" t="s">
        <v>344</v>
      </c>
      <c r="B92" s="37"/>
      <c r="C92" s="416">
        <f t="shared" ref="C92:AH92" si="78">C40/C$49</f>
        <v>1.4002464433740336E-7</v>
      </c>
      <c r="D92" s="341">
        <f t="shared" si="78"/>
        <v>1.4890866170770634E-7</v>
      </c>
      <c r="E92" s="341">
        <f t="shared" si="78"/>
        <v>1.5835633531873266E-7</v>
      </c>
      <c r="F92" s="341">
        <f t="shared" si="78"/>
        <v>1.6840342695982421E-7</v>
      </c>
      <c r="G92" s="341">
        <f t="shared" si="78"/>
        <v>1.7908796736633027E-7</v>
      </c>
      <c r="H92" s="415">
        <f t="shared" si="78"/>
        <v>1.2971576840150976E-7</v>
      </c>
      <c r="I92" s="116">
        <f t="shared" si="78"/>
        <v>1.3794572781425711E-7</v>
      </c>
      <c r="J92" s="116">
        <f t="shared" si="78"/>
        <v>1.4669784604215956E-7</v>
      </c>
      <c r="K92" s="116">
        <f t="shared" si="78"/>
        <v>1.5600525202481093E-7</v>
      </c>
      <c r="L92" s="116">
        <f t="shared" si="78"/>
        <v>1.6590317660376805E-7</v>
      </c>
      <c r="M92" s="116">
        <f t="shared" si="78"/>
        <v>1.7642908588002974E-7</v>
      </c>
      <c r="N92" s="179">
        <f t="shared" si="78"/>
        <v>1.8762282303252747E-7</v>
      </c>
      <c r="O92" s="116">
        <f t="shared" si="78"/>
        <v>1.978474961059939E-7</v>
      </c>
      <c r="P92" s="116">
        <f t="shared" si="78"/>
        <v>2.0862937185752242E-7</v>
      </c>
      <c r="Q92" s="116">
        <f t="shared" si="78"/>
        <v>2.1999881554399778E-7</v>
      </c>
      <c r="R92" s="116">
        <f t="shared" si="78"/>
        <v>2.3198784720406019E-7</v>
      </c>
      <c r="S92" s="116">
        <f t="shared" si="78"/>
        <v>2.4463023183691268E-7</v>
      </c>
      <c r="T92" s="116">
        <f t="shared" si="78"/>
        <v>2.5796157449550348E-7</v>
      </c>
      <c r="U92" s="116">
        <f t="shared" si="78"/>
        <v>2.7201942056189565E-7</v>
      </c>
      <c r="V92" s="116">
        <f t="shared" si="78"/>
        <v>2.8684336148723289E-7</v>
      </c>
      <c r="W92" s="116">
        <f t="shared" si="78"/>
        <v>3.0247514629409875E-7</v>
      </c>
      <c r="X92" s="179">
        <f t="shared" si="78"/>
        <v>3.1895879915529664E-7</v>
      </c>
      <c r="Y92" s="174">
        <f t="shared" si="78"/>
        <v>3.1895879915529664E-7</v>
      </c>
      <c r="Z92" s="174">
        <f t="shared" si="78"/>
        <v>3.1895879915529664E-7</v>
      </c>
      <c r="AA92" s="174">
        <f t="shared" si="78"/>
        <v>3.1895879915529664E-7</v>
      </c>
      <c r="AB92" s="174">
        <f t="shared" si="78"/>
        <v>3.1895879915529659E-7</v>
      </c>
      <c r="AC92" s="174">
        <f t="shared" si="78"/>
        <v>3.1895879915529664E-7</v>
      </c>
      <c r="AD92" s="174">
        <f t="shared" si="78"/>
        <v>3.1895879915529664E-7</v>
      </c>
      <c r="AE92" s="174">
        <f t="shared" si="78"/>
        <v>3.1895879915529664E-7</v>
      </c>
      <c r="AF92" s="174">
        <f t="shared" si="78"/>
        <v>3.1895879915529664E-7</v>
      </c>
      <c r="AG92" s="174">
        <f t="shared" si="78"/>
        <v>3.1895879915529664E-7</v>
      </c>
      <c r="AH92" s="179">
        <f t="shared" si="78"/>
        <v>3.1895879915529659E-7</v>
      </c>
      <c r="AI92" s="128"/>
    </row>
    <row r="93" spans="1:35">
      <c r="A93" s="9" t="s">
        <v>120</v>
      </c>
      <c r="B93" s="37"/>
      <c r="C93" s="416">
        <f t="shared" ref="C93:AH93" si="79">C41/C$49</f>
        <v>0</v>
      </c>
      <c r="D93" s="341">
        <f t="shared" si="79"/>
        <v>0</v>
      </c>
      <c r="E93" s="341">
        <f t="shared" si="79"/>
        <v>0</v>
      </c>
      <c r="F93" s="341">
        <f t="shared" si="79"/>
        <v>0</v>
      </c>
      <c r="G93" s="341">
        <f t="shared" si="79"/>
        <v>0</v>
      </c>
      <c r="H93" s="415">
        <f t="shared" si="79"/>
        <v>1.2971576840150978E-5</v>
      </c>
      <c r="I93" s="116">
        <f t="shared" si="79"/>
        <v>2.4286332234520047E-5</v>
      </c>
      <c r="J93" s="116">
        <f t="shared" si="79"/>
        <v>3.5321322123898481E-5</v>
      </c>
      <c r="K93" s="116">
        <f t="shared" si="79"/>
        <v>4.57171244884891E-5</v>
      </c>
      <c r="L93" s="116">
        <f t="shared" si="79"/>
        <v>5.7551806456030474E-5</v>
      </c>
      <c r="M93" s="116">
        <f t="shared" si="79"/>
        <v>6.850508612544145E-5</v>
      </c>
      <c r="N93" s="179">
        <f t="shared" si="79"/>
        <v>7.7588865223273957E-5</v>
      </c>
      <c r="O93" s="116">
        <f t="shared" si="79"/>
        <v>8.7176496497931249E-5</v>
      </c>
      <c r="P93" s="116">
        <f t="shared" si="79"/>
        <v>9.5458192991390101E-5</v>
      </c>
      <c r="Q93" s="116">
        <f t="shared" si="79"/>
        <v>1.0511957756073915E-4</v>
      </c>
      <c r="R93" s="116">
        <f t="shared" si="79"/>
        <v>1.130187911347281E-4</v>
      </c>
      <c r="S93" s="116">
        <f t="shared" si="79"/>
        <v>1.2172418283430926E-4</v>
      </c>
      <c r="T93" s="116">
        <f t="shared" si="79"/>
        <v>1.3090366997210972E-4</v>
      </c>
      <c r="U93" s="116">
        <f t="shared" si="79"/>
        <v>1.3620810844130058E-4</v>
      </c>
      <c r="V93" s="116">
        <f t="shared" si="79"/>
        <v>1.4437487555278824E-4</v>
      </c>
      <c r="W93" s="116">
        <f t="shared" si="79"/>
        <v>1.5074811854439671E-4</v>
      </c>
      <c r="X93" s="179">
        <f t="shared" si="79"/>
        <v>1.5756381200731644E-4</v>
      </c>
      <c r="Y93" s="174">
        <f t="shared" si="79"/>
        <v>1.6695585556902951E-4</v>
      </c>
      <c r="Z93" s="174">
        <f t="shared" si="79"/>
        <v>1.7529719656558058E-4</v>
      </c>
      <c r="AA93" s="174">
        <f t="shared" si="79"/>
        <v>1.8264670429819961E-4</v>
      </c>
      <c r="AB93" s="174">
        <f t="shared" si="79"/>
        <v>1.8850280198469432E-4</v>
      </c>
      <c r="AC93" s="174">
        <f t="shared" si="79"/>
        <v>1.9652169584110838E-4</v>
      </c>
      <c r="AD93" s="174">
        <f t="shared" si="79"/>
        <v>2.0349412228940224E-4</v>
      </c>
      <c r="AE93" s="174">
        <f t="shared" si="79"/>
        <v>2.0986003758360019E-4</v>
      </c>
      <c r="AF93" s="174">
        <f t="shared" si="79"/>
        <v>2.1611082279749807E-4</v>
      </c>
      <c r="AG93" s="174">
        <f t="shared" si="79"/>
        <v>2.1865027859867758E-4</v>
      </c>
      <c r="AH93" s="179">
        <f t="shared" si="79"/>
        <v>2.2216462198533174E-4</v>
      </c>
      <c r="AI93" s="128"/>
    </row>
    <row r="94" spans="1:35">
      <c r="A94" s="9" t="s">
        <v>53</v>
      </c>
      <c r="B94" s="37"/>
      <c r="C94" s="416">
        <f t="shared" ref="C94:AH94" si="80">C42/C$49</f>
        <v>0</v>
      </c>
      <c r="D94" s="341">
        <f t="shared" si="80"/>
        <v>0</v>
      </c>
      <c r="E94" s="341">
        <f t="shared" si="80"/>
        <v>0</v>
      </c>
      <c r="F94" s="341">
        <f t="shared" si="80"/>
        <v>0</v>
      </c>
      <c r="G94" s="341">
        <f t="shared" si="80"/>
        <v>0</v>
      </c>
      <c r="H94" s="415">
        <f t="shared" si="80"/>
        <v>0</v>
      </c>
      <c r="I94" s="116">
        <f t="shared" si="80"/>
        <v>0</v>
      </c>
      <c r="J94" s="116">
        <f t="shared" si="80"/>
        <v>0</v>
      </c>
      <c r="K94" s="116">
        <f t="shared" si="80"/>
        <v>0</v>
      </c>
      <c r="L94" s="116">
        <f t="shared" si="80"/>
        <v>0</v>
      </c>
      <c r="M94" s="116">
        <f t="shared" si="80"/>
        <v>0</v>
      </c>
      <c r="N94" s="179">
        <f t="shared" si="80"/>
        <v>0</v>
      </c>
      <c r="O94" s="116">
        <f t="shared" si="80"/>
        <v>0</v>
      </c>
      <c r="P94" s="116">
        <f t="shared" si="80"/>
        <v>0</v>
      </c>
      <c r="Q94" s="116">
        <f t="shared" si="80"/>
        <v>0</v>
      </c>
      <c r="R94" s="116">
        <f t="shared" si="80"/>
        <v>0</v>
      </c>
      <c r="S94" s="116">
        <f t="shared" si="80"/>
        <v>0</v>
      </c>
      <c r="T94" s="116">
        <f t="shared" si="80"/>
        <v>0</v>
      </c>
      <c r="U94" s="116">
        <f t="shared" si="80"/>
        <v>0</v>
      </c>
      <c r="V94" s="116">
        <f t="shared" si="80"/>
        <v>0</v>
      </c>
      <c r="W94" s="116">
        <f t="shared" si="80"/>
        <v>0</v>
      </c>
      <c r="X94" s="179">
        <f t="shared" si="80"/>
        <v>0</v>
      </c>
      <c r="Y94" s="174">
        <f t="shared" si="80"/>
        <v>0</v>
      </c>
      <c r="Z94" s="174">
        <f t="shared" si="80"/>
        <v>0</v>
      </c>
      <c r="AA94" s="174">
        <f t="shared" si="80"/>
        <v>0</v>
      </c>
      <c r="AB94" s="174">
        <f t="shared" si="80"/>
        <v>0</v>
      </c>
      <c r="AC94" s="174">
        <f t="shared" si="80"/>
        <v>0</v>
      </c>
      <c r="AD94" s="174">
        <f t="shared" si="80"/>
        <v>0</v>
      </c>
      <c r="AE94" s="174">
        <f t="shared" si="80"/>
        <v>0</v>
      </c>
      <c r="AF94" s="174">
        <f t="shared" si="80"/>
        <v>0</v>
      </c>
      <c r="AG94" s="174">
        <f t="shared" si="80"/>
        <v>0</v>
      </c>
      <c r="AH94" s="179">
        <f t="shared" si="80"/>
        <v>0</v>
      </c>
      <c r="AI94" s="128"/>
    </row>
    <row r="95" spans="1:35" s="384" customFormat="1">
      <c r="A95" s="379" t="s">
        <v>541</v>
      </c>
      <c r="B95" s="380"/>
      <c r="C95" s="381">
        <f>SUM(C86:C94)</f>
        <v>3.3648062058922359E-2</v>
      </c>
      <c r="D95" s="381">
        <f>SUM(D86:D94)</f>
        <v>3.9643460648252069E-2</v>
      </c>
      <c r="E95" s="381">
        <f>SUM(E86:E94)</f>
        <v>4.777420781448441E-2</v>
      </c>
      <c r="F95" s="381">
        <f>SUM(F86:F94)</f>
        <v>5.6785205066453889E-2</v>
      </c>
      <c r="G95" s="381">
        <f t="shared" ref="G95:AH95" si="81">SUM(G86:G94)</f>
        <v>6.334049969799474E-2</v>
      </c>
      <c r="H95" s="381">
        <f t="shared" si="81"/>
        <v>3.8515415819821687E-2</v>
      </c>
      <c r="I95" s="381">
        <f t="shared" si="81"/>
        <v>4.4839579561216633E-2</v>
      </c>
      <c r="J95" s="381">
        <f t="shared" si="81"/>
        <v>5.2708500527187459E-2</v>
      </c>
      <c r="K95" s="381">
        <f t="shared" si="81"/>
        <v>6.1325432180328668E-2</v>
      </c>
      <c r="L95" s="381">
        <f t="shared" si="81"/>
        <v>7.2021071177073917E-2</v>
      </c>
      <c r="M95" s="381">
        <f t="shared" si="81"/>
        <v>8.47978529683657E-2</v>
      </c>
      <c r="N95" s="382">
        <f t="shared" si="81"/>
        <v>0.10007758886522326</v>
      </c>
      <c r="O95" s="381">
        <f t="shared" si="81"/>
        <v>0.10553676568197458</v>
      </c>
      <c r="P95" s="381">
        <f t="shared" si="81"/>
        <v>0.11129161678684929</v>
      </c>
      <c r="Q95" s="381">
        <f t="shared" si="81"/>
        <v>0.11736101200481494</v>
      </c>
      <c r="R95" s="381">
        <f t="shared" si="81"/>
        <v>0.1237588756514387</v>
      </c>
      <c r="S95" s="381">
        <f t="shared" si="81"/>
        <v>0.13050577228688731</v>
      </c>
      <c r="T95" s="381">
        <f t="shared" si="81"/>
        <v>0.13762034675909021</v>
      </c>
      <c r="U95" s="381">
        <f t="shared" si="81"/>
        <v>0.14511826101931602</v>
      </c>
      <c r="V95" s="381">
        <f t="shared" si="81"/>
        <v>0.15302735406274051</v>
      </c>
      <c r="W95" s="381">
        <f t="shared" si="81"/>
        <v>0.16136522160595154</v>
      </c>
      <c r="X95" s="382">
        <f t="shared" si="81"/>
        <v>0.17015756381200731</v>
      </c>
      <c r="Y95" s="381">
        <f t="shared" si="81"/>
        <v>0.17016695585556901</v>
      </c>
      <c r="Z95" s="381">
        <f t="shared" si="81"/>
        <v>0.17017529719656557</v>
      </c>
      <c r="AA95" s="381">
        <f t="shared" si="81"/>
        <v>0.1701826467042982</v>
      </c>
      <c r="AB95" s="381">
        <f t="shared" si="81"/>
        <v>0.17018850280198469</v>
      </c>
      <c r="AC95" s="381">
        <f t="shared" si="81"/>
        <v>0.1701965216958411</v>
      </c>
      <c r="AD95" s="381">
        <f t="shared" si="81"/>
        <v>0.17020349412228938</v>
      </c>
      <c r="AE95" s="381">
        <f t="shared" si="81"/>
        <v>0.17020986003758359</v>
      </c>
      <c r="AF95" s="381">
        <f t="shared" si="81"/>
        <v>0.17021611082279747</v>
      </c>
      <c r="AG95" s="381">
        <f t="shared" si="81"/>
        <v>0.17021865027859867</v>
      </c>
      <c r="AH95" s="382">
        <f t="shared" si="81"/>
        <v>0.17022216462198531</v>
      </c>
      <c r="AI95" s="383"/>
    </row>
    <row r="96" spans="1:35">
      <c r="A96" s="10" t="s">
        <v>544</v>
      </c>
      <c r="B96" s="37"/>
      <c r="C96" s="337"/>
      <c r="D96" s="337">
        <f>D95/C95-1</f>
        <v>0.1781796104284088</v>
      </c>
      <c r="E96" s="337">
        <f t="shared" ref="E96:O96" si="82">E95/D95-1</f>
        <v>0.20509680621413762</v>
      </c>
      <c r="F96" s="337">
        <f t="shared" si="82"/>
        <v>0.18861636150955663</v>
      </c>
      <c r="G96" s="337">
        <f t="shared" si="82"/>
        <v>0.11544018594049987</v>
      </c>
      <c r="H96" s="285"/>
      <c r="I96" s="165">
        <f t="shared" si="82"/>
        <v>0.16419824651458814</v>
      </c>
      <c r="J96" s="165">
        <f t="shared" si="82"/>
        <v>0.17549051625758194</v>
      </c>
      <c r="K96" s="165">
        <f t="shared" si="82"/>
        <v>0.16348276970422493</v>
      </c>
      <c r="L96" s="165">
        <f t="shared" si="82"/>
        <v>0.17440788619792369</v>
      </c>
      <c r="M96" s="165">
        <f t="shared" si="82"/>
        <v>0.17740338462723315</v>
      </c>
      <c r="N96" s="165">
        <f t="shared" si="82"/>
        <v>0.18019012701368453</v>
      </c>
      <c r="O96" s="173">
        <f t="shared" si="82"/>
        <v>5.4549443873026515E-2</v>
      </c>
      <c r="P96" s="173">
        <f t="shared" ref="P96:AH96" si="83">P95/O95-1</f>
        <v>5.4529348778949993E-2</v>
      </c>
      <c r="Q96" s="173">
        <f t="shared" si="83"/>
        <v>5.4535960508059089E-2</v>
      </c>
      <c r="R96" s="173">
        <f t="shared" si="83"/>
        <v>5.4514387165997436E-2</v>
      </c>
      <c r="S96" s="173">
        <f t="shared" si="83"/>
        <v>5.4516466798316232E-2</v>
      </c>
      <c r="T96" s="173">
        <f t="shared" si="83"/>
        <v>5.451540071777905E-2</v>
      </c>
      <c r="U96" s="173">
        <f t="shared" si="83"/>
        <v>5.4482599679473331E-2</v>
      </c>
      <c r="V96" s="173">
        <f t="shared" si="83"/>
        <v>5.450101860283274E-2</v>
      </c>
      <c r="W96" s="173">
        <f t="shared" si="83"/>
        <v>5.4486125008686548E-2</v>
      </c>
      <c r="X96" s="186">
        <f t="shared" si="83"/>
        <v>5.4487219231950546E-2</v>
      </c>
      <c r="Y96" s="173">
        <f t="shared" si="83"/>
        <v>5.5196156734327317E-5</v>
      </c>
      <c r="Z96" s="173">
        <f t="shared" si="83"/>
        <v>4.9018570935865924E-5</v>
      </c>
      <c r="AA96" s="173">
        <f t="shared" si="83"/>
        <v>4.3187864829263845E-5</v>
      </c>
      <c r="AB96" s="173">
        <f t="shared" si="83"/>
        <v>3.4410662896000588E-5</v>
      </c>
      <c r="AC96" s="173">
        <f t="shared" si="83"/>
        <v>4.7117717850486684E-5</v>
      </c>
      <c r="AD96" s="173">
        <f t="shared" si="83"/>
        <v>4.096691506272343E-5</v>
      </c>
      <c r="AE96" s="173">
        <f t="shared" si="83"/>
        <v>3.7401789704905042E-5</v>
      </c>
      <c r="AF96" s="173">
        <f t="shared" si="83"/>
        <v>3.6723990093801007E-5</v>
      </c>
      <c r="AG96" s="173">
        <f t="shared" si="83"/>
        <v>1.4919009657221594E-5</v>
      </c>
      <c r="AH96" s="186">
        <f t="shared" si="83"/>
        <v>2.0646053654482799E-5</v>
      </c>
      <c r="AI96" s="128"/>
    </row>
    <row r="97" spans="1:36">
      <c r="A97" s="10"/>
      <c r="B97" s="37"/>
      <c r="C97" s="337"/>
      <c r="D97" s="337"/>
      <c r="E97" s="337"/>
      <c r="F97" s="337"/>
      <c r="G97" s="337"/>
      <c r="H97" s="285"/>
      <c r="I97" s="165"/>
      <c r="J97" s="165"/>
      <c r="K97" s="165"/>
      <c r="L97" s="165"/>
      <c r="M97" s="165"/>
      <c r="N97" s="181"/>
      <c r="O97" s="165"/>
      <c r="P97" s="165"/>
      <c r="Q97" s="165"/>
      <c r="R97" s="165"/>
      <c r="S97" s="165"/>
      <c r="T97" s="165"/>
      <c r="U97" s="165"/>
      <c r="V97" s="165"/>
      <c r="W97" s="165"/>
      <c r="X97" s="186"/>
      <c r="AI97" s="128"/>
    </row>
    <row r="98" spans="1:36">
      <c r="A98" s="10"/>
      <c r="B98" s="37"/>
      <c r="C98" s="337"/>
      <c r="D98" s="337"/>
      <c r="E98" s="337"/>
      <c r="F98" s="337"/>
      <c r="G98" s="337"/>
      <c r="H98" s="285"/>
      <c r="I98" s="173"/>
      <c r="J98" s="173"/>
      <c r="K98" s="173"/>
      <c r="L98" s="173"/>
      <c r="M98" s="173"/>
      <c r="N98" s="186"/>
      <c r="O98" s="173"/>
      <c r="P98" s="173"/>
      <c r="Q98" s="173"/>
      <c r="R98" s="173"/>
      <c r="S98" s="173"/>
      <c r="T98" s="173"/>
      <c r="U98" s="173"/>
      <c r="V98" s="173"/>
      <c r="W98" s="173"/>
      <c r="X98" s="186"/>
      <c r="AI98" s="128"/>
    </row>
    <row r="99" spans="1:36">
      <c r="A99" s="1" t="s">
        <v>139</v>
      </c>
      <c r="C99" s="333">
        <v>2009</v>
      </c>
      <c r="D99" s="333">
        <v>2010</v>
      </c>
      <c r="E99" s="333">
        <v>2011</v>
      </c>
      <c r="F99" s="333">
        <v>2012</v>
      </c>
      <c r="G99" s="333">
        <v>2013</v>
      </c>
      <c r="H99" s="406">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61</v>
      </c>
      <c r="B100" s="35">
        <v>0</v>
      </c>
      <c r="C100" s="336">
        <v>0</v>
      </c>
      <c r="D100" s="336">
        <f xml:space="preserve"> IF(D29*Inputs!$C44 &gt; 0, D29*Inputs!$C44, 0)</f>
        <v>0</v>
      </c>
      <c r="E100" s="336">
        <f xml:space="preserve"> IF(E29*Inputs!$C44 &gt; 0, E29*Inputs!$C44, 0)</f>
        <v>0</v>
      </c>
      <c r="F100" s="336">
        <f xml:space="preserve"> IF(F29*Inputs!$C44 &gt; 0, F29*Inputs!$C44, 0)</f>
        <v>0</v>
      </c>
      <c r="G100" s="336">
        <f xml:space="preserve"> IF(G29*Inputs!$C44 &gt; 0, G29*Inputs!$C44, 0)</f>
        <v>0</v>
      </c>
      <c r="H100" s="408">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60</v>
      </c>
      <c r="B101" s="35">
        <v>0</v>
      </c>
      <c r="C101" s="336">
        <v>0</v>
      </c>
      <c r="D101" s="336">
        <f>D30*Inputs!$C47</f>
        <v>0</v>
      </c>
      <c r="E101" s="336">
        <f>E30*Inputs!$C47</f>
        <v>0</v>
      </c>
      <c r="F101" s="336">
        <f>F30*Inputs!$C47</f>
        <v>0</v>
      </c>
      <c r="G101" s="336">
        <f>G30*Inputs!$C47</f>
        <v>0</v>
      </c>
      <c r="H101" s="408">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49</v>
      </c>
      <c r="B102" s="35">
        <v>0</v>
      </c>
      <c r="C102" s="336">
        <f>C31*Inputs!$C$48</f>
        <v>221.8485</v>
      </c>
      <c r="D102" s="336">
        <f>D31*Inputs!$C$48</f>
        <v>228.72468973743401</v>
      </c>
      <c r="E102" s="336">
        <f>E31*Inputs!$C$48</f>
        <v>231.73197520406066</v>
      </c>
      <c r="F102" s="336">
        <f>F31*Inputs!$C$48</f>
        <v>237.7987126250556</v>
      </c>
      <c r="G102" s="336">
        <f>G31*Inputs!$C$48</f>
        <v>226.55141418697281</v>
      </c>
      <c r="H102" s="408">
        <f>H31*Inputs!$C$48</f>
        <v>231.86296799999997</v>
      </c>
      <c r="I102" s="14">
        <f>I31*Inputs!$C$48</f>
        <v>243.82463683497005</v>
      </c>
      <c r="J102" s="14">
        <f>J31*Inputs!$C$48</f>
        <v>247.49734631531871</v>
      </c>
      <c r="K102" s="14">
        <f>K31*Inputs!$C$48</f>
        <v>250.86027401656804</v>
      </c>
      <c r="L102" s="14">
        <f>L31*Inputs!$C$48</f>
        <v>245.02509395885613</v>
      </c>
      <c r="M102" s="14">
        <f>M31*Inputs!$C$48</f>
        <v>242.91645568357009</v>
      </c>
      <c r="N102" s="183">
        <f>N31*Inputs!$C$48</f>
        <v>245.99841899999998</v>
      </c>
      <c r="O102" s="14">
        <f>O31*Inputs!$C$48</f>
        <v>246.12247254065323</v>
      </c>
      <c r="P102" s="14">
        <f>P31*Inputs!$C$48</f>
        <v>248.65462839585598</v>
      </c>
      <c r="Q102" s="14">
        <f>Q31*Inputs!$C$48</f>
        <v>246.64119376129941</v>
      </c>
      <c r="R102" s="14">
        <f>R31*Inputs!$C$48</f>
        <v>247.99579219566246</v>
      </c>
      <c r="S102" s="14">
        <f>S31*Inputs!$C$48</f>
        <v>246.78926106303075</v>
      </c>
      <c r="T102" s="14">
        <f>T31*Inputs!$C$48</f>
        <v>244.17136347862882</v>
      </c>
      <c r="U102" s="14">
        <f>U31*Inputs!$C$48</f>
        <v>248.12255574208911</v>
      </c>
      <c r="V102" s="14">
        <f>V31*Inputs!$C$48</f>
        <v>246.16714087209493</v>
      </c>
      <c r="W102" s="14">
        <f>W31*Inputs!$C$48</f>
        <v>246.73652307323488</v>
      </c>
      <c r="X102" s="188">
        <f>X31*Inputs!$C$48</f>
        <v>245.99844588741567</v>
      </c>
      <c r="Y102" s="159">
        <f>Y31*Inputs!$C$48</f>
        <v>243.34041066837489</v>
      </c>
      <c r="Z102" s="159">
        <f>Z31*Inputs!$C$48</f>
        <v>242.14779542726268</v>
      </c>
      <c r="AA102" s="159">
        <f>AA31*Inputs!$C$48</f>
        <v>242.12110893349791</v>
      </c>
      <c r="AB102" s="159">
        <f>AB31*Inputs!$C$48</f>
        <v>243.77083342119406</v>
      </c>
      <c r="AC102" s="159">
        <f>AC31*Inputs!$C$48</f>
        <v>242.38757533610774</v>
      </c>
      <c r="AD102" s="159">
        <f>AD31*Inputs!$C$48</f>
        <v>242.12698959008682</v>
      </c>
      <c r="AE102" s="159">
        <f>AE31*Inputs!$C$48</f>
        <v>242.36386949949201</v>
      </c>
      <c r="AF102" s="159">
        <f>AF31*Inputs!$C$48</f>
        <v>242.50350480389579</v>
      </c>
      <c r="AG102" s="159">
        <f>AG31*Inputs!$C$48</f>
        <v>246.5436730830049</v>
      </c>
      <c r="AH102" s="188">
        <f>AH31*Inputs!$C$48</f>
        <v>249.18514398483023</v>
      </c>
    </row>
    <row r="103" spans="1:36">
      <c r="A103" s="10" t="s">
        <v>59</v>
      </c>
      <c r="B103" s="35">
        <v>0</v>
      </c>
      <c r="C103" s="336">
        <f>C32*Inputs!$C$53</f>
        <v>3949.6800000000003</v>
      </c>
      <c r="D103" s="336">
        <f>D32*Inputs!$C$53</f>
        <v>4079.4745511604501</v>
      </c>
      <c r="E103" s="336">
        <f>E32*Inputs!$C$53</f>
        <v>4140.752811998892</v>
      </c>
      <c r="F103" s="336">
        <f>F32*Inputs!$C$53</f>
        <v>4257.1790484212715</v>
      </c>
      <c r="G103" s="336">
        <f>G32*Inputs!$C$53</f>
        <v>4063.6446685713513</v>
      </c>
      <c r="H103" s="408">
        <f>H32*Inputs!$C$53</f>
        <v>3787.4531496200002</v>
      </c>
      <c r="I103" s="14">
        <f>I32*Inputs!$C$53</f>
        <v>4052.7602285830894</v>
      </c>
      <c r="J103" s="14">
        <f>J32*Inputs!$C$53</f>
        <v>4187.0551996774693</v>
      </c>
      <c r="K103" s="14">
        <f>K32*Inputs!$C$53</f>
        <v>4320.6167056482909</v>
      </c>
      <c r="L103" s="14">
        <f>L32*Inputs!$C$53</f>
        <v>4297.4883957747998</v>
      </c>
      <c r="M103" s="14">
        <f>M32*Inputs!$C$53</f>
        <v>4339.8014377860909</v>
      </c>
      <c r="N103" s="183">
        <f>N32*Inputs!$C$53</f>
        <v>4477.9224877940005</v>
      </c>
      <c r="O103" s="14">
        <f>O32*Inputs!$C$53</f>
        <v>4480.1806410847403</v>
      </c>
      <c r="P103" s="14">
        <f>P32*Inputs!$C$53</f>
        <v>4526.2736106765951</v>
      </c>
      <c r="Q103" s="14">
        <f>Q32*Inputs!$C$53</f>
        <v>4489.6229514388851</v>
      </c>
      <c r="R103" s="14">
        <f>R32*Inputs!$C$53</f>
        <v>4514.2807797933219</v>
      </c>
      <c r="S103" s="14">
        <f>S32*Inputs!$C$53</f>
        <v>4492.3182285175953</v>
      </c>
      <c r="T103" s="14">
        <f>T32*Inputs!$C$53</f>
        <v>4444.6644976050602</v>
      </c>
      <c r="U103" s="14">
        <f>U32*Inputs!$C$53</f>
        <v>4516.5882634653053</v>
      </c>
      <c r="V103" s="14">
        <f>V32*Inputs!$C$53</f>
        <v>4480.9937411309402</v>
      </c>
      <c r="W103" s="14">
        <f>W32*Inputs!$C$53</f>
        <v>4491.3582360451701</v>
      </c>
      <c r="X103" s="188">
        <f>X32*Inputs!$C$53</f>
        <v>4477.9229772270792</v>
      </c>
      <c r="Y103" s="159">
        <f>Y32*Inputs!$C$53</f>
        <v>4429.5386187865824</v>
      </c>
      <c r="Z103" s="159">
        <f>Z32*Inputs!$C$53</f>
        <v>4407.8293792346722</v>
      </c>
      <c r="AA103" s="159">
        <f>AA32*Inputs!$C$53</f>
        <v>4407.3436035494642</v>
      </c>
      <c r="AB103" s="159">
        <f>AB32*Inputs!$C$53</f>
        <v>4437.3736273689228</v>
      </c>
      <c r="AC103" s="159">
        <f>AC32*Inputs!$C$53</f>
        <v>4412.1941058467501</v>
      </c>
      <c r="AD103" s="159">
        <f>AD32*Inputs!$C$53</f>
        <v>4407.4506494584966</v>
      </c>
      <c r="AE103" s="159">
        <f>AE32*Inputs!$C$53</f>
        <v>4411.7625872243734</v>
      </c>
      <c r="AF103" s="159">
        <f>AF32*Inputs!$C$53</f>
        <v>4414.3043762009911</v>
      </c>
      <c r="AG103" s="159">
        <f>AG32*Inputs!$C$53</f>
        <v>4487.8477772725837</v>
      </c>
      <c r="AH103" s="188">
        <f>AH32*Inputs!$C$53</f>
        <v>4535.9306145534911</v>
      </c>
    </row>
    <row r="104" spans="1:36">
      <c r="A104" s="10" t="s">
        <v>121</v>
      </c>
      <c r="B104" s="35">
        <v>1</v>
      </c>
      <c r="C104" s="336">
        <f>C34*Inputs!$C$46</f>
        <v>358.68</v>
      </c>
      <c r="D104" s="336">
        <f>D34*Inputs!$C$46</f>
        <v>451.44163306088274</v>
      </c>
      <c r="E104" s="336">
        <f>E34*Inputs!$C$46</f>
        <v>558.42811410958052</v>
      </c>
      <c r="F104" s="336">
        <f>F34*Inputs!$C$46</f>
        <v>699.74478139364351</v>
      </c>
      <c r="G104" s="336">
        <f>G34*Inputs!$C$46</f>
        <v>814.14771726639981</v>
      </c>
      <c r="H104" s="408">
        <f>H34*Inputs!$C$46</f>
        <v>433.14957272211586</v>
      </c>
      <c r="I104" s="14">
        <f>I34*Inputs!$C$46</f>
        <v>558.57714510591188</v>
      </c>
      <c r="J104" s="14">
        <f>J34*Inputs!$C$46</f>
        <v>701.64845004440133</v>
      </c>
      <c r="K104" s="14">
        <f>K34*Inputs!$C$46</f>
        <v>864.89832006601989</v>
      </c>
      <c r="L104" s="14">
        <f>L34*Inputs!$C$46</f>
        <v>1036.7629008732142</v>
      </c>
      <c r="M104" s="14">
        <f>M34*Inputs!$C$46</f>
        <v>1261.7731243480741</v>
      </c>
      <c r="N104" s="183">
        <f>N34*Inputs!$C$46</f>
        <v>1569.0468600089273</v>
      </c>
      <c r="O104" s="14">
        <f>O34*Inputs!$C$46</f>
        <v>1682.9559236196158</v>
      </c>
      <c r="P104" s="14">
        <f>P34*Inputs!$C$46</f>
        <v>1823.2925563685333</v>
      </c>
      <c r="Q104" s="14">
        <f>Q34*Inputs!$C$46</f>
        <v>1939.9402044226401</v>
      </c>
      <c r="R104" s="14">
        <f>R34*Inputs!$C$46</f>
        <v>2092.9500816231148</v>
      </c>
      <c r="S104" s="14">
        <f>S34*Inputs!$C$46</f>
        <v>2235.4559336044176</v>
      </c>
      <c r="T104" s="14">
        <f>T34*Inputs!$C$46</f>
        <v>2374.6420659014275</v>
      </c>
      <c r="U104" s="14">
        <f>U34*Inputs!$C$46</f>
        <v>2591.6514499742611</v>
      </c>
      <c r="V104" s="14">
        <f>V34*Inputs!$C$46</f>
        <v>2762.460313434583</v>
      </c>
      <c r="W104" s="14">
        <f>W34*Inputs!$C$46</f>
        <v>2975.8386880437583</v>
      </c>
      <c r="X104" s="188">
        <f>X34*Inputs!$C$46</f>
        <v>3189.9115247336713</v>
      </c>
      <c r="Y104" s="159">
        <f>Y34*Inputs!$C$46</f>
        <v>3187.5502890274151</v>
      </c>
      <c r="Z104" s="159">
        <f>Z34*Inputs!$C$46</f>
        <v>3204.5335724150923</v>
      </c>
      <c r="AA104" s="159">
        <f>AA34*Inputs!$C$46</f>
        <v>3237.4595516928266</v>
      </c>
      <c r="AB104" s="159">
        <f>AB34*Inputs!$C$46</f>
        <v>3293.7276090814048</v>
      </c>
      <c r="AC104" s="159">
        <f>AC34*Inputs!$C$46</f>
        <v>3309.7742535402258</v>
      </c>
      <c r="AD104" s="159">
        <f>AD34*Inputs!$C$46</f>
        <v>3341.6592448830102</v>
      </c>
      <c r="AE104" s="159">
        <f>AE34*Inputs!$C$46</f>
        <v>3381.1753255587741</v>
      </c>
      <c r="AF104" s="159">
        <f>AF34*Inputs!$C$46</f>
        <v>3420.1857047292406</v>
      </c>
      <c r="AG104" s="159">
        <f>AG34*Inputs!$C$46</f>
        <v>3515.6813774336406</v>
      </c>
      <c r="AH104" s="188">
        <f>AH34*Inputs!$C$46</f>
        <v>3593.1476009871831</v>
      </c>
    </row>
    <row r="105" spans="1:36">
      <c r="A105" s="10" t="s">
        <v>50</v>
      </c>
      <c r="B105" s="35">
        <v>1</v>
      </c>
      <c r="C105" s="336">
        <f>C35*Inputs!$C$49</f>
        <v>0</v>
      </c>
      <c r="D105" s="336">
        <f>D35*Inputs!$C$49</f>
        <v>0</v>
      </c>
      <c r="E105" s="336">
        <f>E35*Inputs!$C$49</f>
        <v>0</v>
      </c>
      <c r="F105" s="336">
        <f>F35*Inputs!$C$49</f>
        <v>0</v>
      </c>
      <c r="G105" s="336">
        <f>G35*Inputs!$C$49</f>
        <v>0</v>
      </c>
      <c r="H105" s="408">
        <f>H35*Inputs!$C$49</f>
        <v>0</v>
      </c>
      <c r="I105" s="14">
        <f>I35*Inputs!$C$49</f>
        <v>0</v>
      </c>
      <c r="J105" s="14">
        <f>J35*Inputs!$C$49</f>
        <v>0</v>
      </c>
      <c r="K105" s="14">
        <f>K35*Inputs!$C$49</f>
        <v>0</v>
      </c>
      <c r="L105" s="14">
        <f>L35*Inputs!$C$49</f>
        <v>0</v>
      </c>
      <c r="M105" s="14">
        <f>M35*Inputs!$C$49</f>
        <v>0</v>
      </c>
      <c r="N105" s="183">
        <f>N35*Inputs!$C$49</f>
        <v>0</v>
      </c>
      <c r="O105" s="14">
        <f>O35*Inputs!$C$49</f>
        <v>0</v>
      </c>
      <c r="P105" s="14">
        <f>P35*Inputs!$C$49</f>
        <v>0</v>
      </c>
      <c r="Q105" s="14">
        <f>Q35*Inputs!$C$49</f>
        <v>0</v>
      </c>
      <c r="R105" s="14">
        <f>R35*Inputs!$C$49</f>
        <v>0</v>
      </c>
      <c r="S105" s="14">
        <f>S35*Inputs!$C$49</f>
        <v>0</v>
      </c>
      <c r="T105" s="14">
        <f>T35*Inputs!$C$49</f>
        <v>0</v>
      </c>
      <c r="U105" s="14">
        <f>U35*Inputs!$C$49</f>
        <v>0</v>
      </c>
      <c r="V105" s="14">
        <f>V35*Inputs!$C$49</f>
        <v>0</v>
      </c>
      <c r="W105" s="14">
        <f>W35*Inputs!$C$49</f>
        <v>0</v>
      </c>
      <c r="X105" s="188">
        <f>X35*Inputs!$C$49</f>
        <v>0</v>
      </c>
      <c r="Y105" s="159">
        <f>Y35*Inputs!$C$49</f>
        <v>0</v>
      </c>
      <c r="Z105" s="159">
        <f>Z35*Inputs!$C$49</f>
        <v>0</v>
      </c>
      <c r="AA105" s="159">
        <f>AA35*Inputs!$C$49</f>
        <v>0</v>
      </c>
      <c r="AB105" s="159">
        <f>AB35*Inputs!$C$49</f>
        <v>0</v>
      </c>
      <c r="AC105" s="159">
        <f>AC35*Inputs!$C$49</f>
        <v>0</v>
      </c>
      <c r="AD105" s="159">
        <f>AD35*Inputs!$C$49</f>
        <v>0</v>
      </c>
      <c r="AE105" s="159">
        <f>AE35*Inputs!$C$49</f>
        <v>0</v>
      </c>
      <c r="AF105" s="159">
        <f>AF35*Inputs!$C$49</f>
        <v>0</v>
      </c>
      <c r="AG105" s="159">
        <f>AG35*Inputs!$C$49</f>
        <v>0</v>
      </c>
      <c r="AH105" s="188">
        <f>AH35*Inputs!$C$49</f>
        <v>0</v>
      </c>
    </row>
    <row r="106" spans="1:36">
      <c r="A106" s="10" t="s">
        <v>119</v>
      </c>
      <c r="B106" s="35">
        <v>1</v>
      </c>
      <c r="C106" s="336"/>
      <c r="D106" s="336"/>
      <c r="E106" s="336"/>
      <c r="F106" s="336"/>
      <c r="G106" s="336"/>
      <c r="H106" s="408"/>
      <c r="I106" s="14"/>
      <c r="J106" s="14"/>
      <c r="K106" s="14"/>
      <c r="L106" s="14"/>
      <c r="M106" s="14"/>
      <c r="N106" s="188"/>
      <c r="O106" s="14"/>
      <c r="P106" s="14"/>
      <c r="Q106" s="14"/>
      <c r="R106" s="14"/>
      <c r="S106" s="14"/>
      <c r="T106" s="14"/>
      <c r="U106" s="14"/>
      <c r="V106" s="14"/>
      <c r="W106" s="14"/>
      <c r="X106" s="188"/>
      <c r="AJ106" s="171" t="s">
        <v>0</v>
      </c>
    </row>
    <row r="107" spans="1:36">
      <c r="A107" s="10" t="s">
        <v>51</v>
      </c>
      <c r="B107" s="35">
        <v>1</v>
      </c>
      <c r="C107" s="336">
        <f>C37*Inputs!$C$52</f>
        <v>104.25</v>
      </c>
      <c r="D107" s="336">
        <f>D37*Inputs!$C$52</f>
        <v>120.3</v>
      </c>
      <c r="E107" s="336">
        <f>E37*Inputs!$C$52</f>
        <v>147.80421786430969</v>
      </c>
      <c r="F107" s="336">
        <f>F37*Inputs!$C$52</f>
        <v>174.66516030606419</v>
      </c>
      <c r="G107" s="336">
        <f>G37*Inputs!$C$52</f>
        <v>143.56673264602313</v>
      </c>
      <c r="H107" s="408">
        <f>H37*Inputs!$C$52</f>
        <v>135.79337489295415</v>
      </c>
      <c r="I107" s="14">
        <f>I37*Inputs!$C$52</f>
        <v>154.55009624935545</v>
      </c>
      <c r="J107" s="14">
        <f>J37*Inputs!$C$52</f>
        <v>169.83037973182374</v>
      </c>
      <c r="K107" s="14">
        <f>K37*Inputs!$C$52</f>
        <v>186.39833284233336</v>
      </c>
      <c r="L107" s="14">
        <f>L37*Inputs!$C$52</f>
        <v>197.1976996194521</v>
      </c>
      <c r="M107" s="14">
        <f>M37*Inputs!$C$52</f>
        <v>211.811285078456</v>
      </c>
      <c r="N107" s="183">
        <f>N37*Inputs!$C$52</f>
        <v>232.46049734674466</v>
      </c>
      <c r="O107" s="14">
        <f>O37*Inputs!$C$52</f>
        <v>249.3365755915284</v>
      </c>
      <c r="P107" s="14">
        <f>P37*Inputs!$C$52</f>
        <v>270.12800271601543</v>
      </c>
      <c r="Q107" s="14">
        <f>Q37*Inputs!$C$52</f>
        <v>287.40981307624361</v>
      </c>
      <c r="R107" s="14">
        <f>R37*Inputs!$C$52</f>
        <v>310.07883148451742</v>
      </c>
      <c r="S107" s="14">
        <f>S37*Inputs!$C$52</f>
        <v>331.19163701679253</v>
      </c>
      <c r="T107" s="14">
        <f>T37*Inputs!$C$52</f>
        <v>351.812612949499</v>
      </c>
      <c r="U107" s="14">
        <f>U37*Inputs!$C$52</f>
        <v>383.96341139677713</v>
      </c>
      <c r="V107" s="14">
        <f>V37*Inputs!$C$52</f>
        <v>409.26942000826807</v>
      </c>
      <c r="W107" s="14">
        <f>W37*Inputs!$C$52</f>
        <v>440.88227004412153</v>
      </c>
      <c r="X107" s="188">
        <f>X37*Inputs!$C$52</f>
        <v>472.59800738359263</v>
      </c>
      <c r="Y107" s="159">
        <f>Y37*Inputs!$C$52</f>
        <v>472.2481809758421</v>
      </c>
      <c r="Z107" s="159">
        <f>Z37*Inputs!$C$52</f>
        <v>474.76432157272495</v>
      </c>
      <c r="AA107" s="159">
        <f>AA37*Inputs!$C$52</f>
        <v>479.64243561355562</v>
      </c>
      <c r="AB107" s="159">
        <f>AB37*Inputs!$C$52</f>
        <v>487.97877083633506</v>
      </c>
      <c r="AC107" s="159">
        <f>AC37*Inputs!$C$52</f>
        <v>490.35614467182575</v>
      </c>
      <c r="AD107" s="159">
        <f>AD37*Inputs!$C$52</f>
        <v>495.08003223334708</v>
      </c>
      <c r="AE107" s="159">
        <f>AE37*Inputs!$C$52</f>
        <v>500.93449585786237</v>
      </c>
      <c r="AF107" s="159">
        <f>AF37*Inputs!$C$52</f>
        <v>506.71403780449367</v>
      </c>
      <c r="AG107" s="159">
        <f>AG37*Inputs!$C$52</f>
        <v>520.8620993679325</v>
      </c>
      <c r="AH107" s="188">
        <f>AH37*Inputs!$C$52</f>
        <v>532.33902673945033</v>
      </c>
    </row>
    <row r="108" spans="1:36">
      <c r="A108" s="9" t="s">
        <v>347</v>
      </c>
      <c r="B108" s="35">
        <v>1</v>
      </c>
      <c r="C108" s="336">
        <f>C38*Inputs!$C$54</f>
        <v>0</v>
      </c>
      <c r="D108" s="336">
        <f>D38*Inputs!$C$54</f>
        <v>0</v>
      </c>
      <c r="E108" s="336">
        <f>E38*Inputs!$C$54</f>
        <v>0.15800000000000003</v>
      </c>
      <c r="F108" s="336">
        <f>F38*Inputs!$C$54</f>
        <v>0.15800000000000003</v>
      </c>
      <c r="G108" s="336">
        <f>G38*Inputs!$C$54</f>
        <v>0.15800000000000003</v>
      </c>
      <c r="H108" s="408">
        <f>H38*Inputs!$C$54</f>
        <v>0.15800000000000003</v>
      </c>
      <c r="I108" s="14">
        <f>I38*Inputs!$C$54</f>
        <v>0.17948716820791161</v>
      </c>
      <c r="J108" s="14">
        <f>J38*Inputs!$C$54</f>
        <v>0.19686346615246395</v>
      </c>
      <c r="K108" s="14">
        <f>K38*Inputs!$C$54</f>
        <v>0.21566386858934086</v>
      </c>
      <c r="L108" s="14">
        <f>L38*Inputs!$C$54</f>
        <v>0.22773135647290091</v>
      </c>
      <c r="M108" s="14">
        <f>M38*Inputs!$C$54</f>
        <v>0.24414942433325845</v>
      </c>
      <c r="N108" s="183">
        <f>N38*Inputs!$C$54</f>
        <v>0.26744925534976033</v>
      </c>
      <c r="O108" s="14">
        <f>O38*Inputs!$C$54</f>
        <v>0.28686543406101539</v>
      </c>
      <c r="P108" s="14">
        <f>P38*Inputs!$C$54</f>
        <v>0.31078627982006246</v>
      </c>
      <c r="Q108" s="14">
        <f>Q38*Inputs!$C$54</f>
        <v>0.33066925935720276</v>
      </c>
      <c r="R108" s="14">
        <f>R38*Inputs!$C$54</f>
        <v>0.35675030177947459</v>
      </c>
      <c r="S108" s="14">
        <f>S38*Inputs!$C$54</f>
        <v>0.38104089817069126</v>
      </c>
      <c r="T108" s="14">
        <f>T38*Inputs!$C$54</f>
        <v>0.40476563730157777</v>
      </c>
      <c r="U108" s="14">
        <f>U38*Inputs!$C$54</f>
        <v>0.44175560850859397</v>
      </c>
      <c r="V108" s="14">
        <f>V38*Inputs!$C$54</f>
        <v>0.47087054733160794</v>
      </c>
      <c r="W108" s="14">
        <f>W38*Inputs!$C$54</f>
        <v>0.50724160090016834</v>
      </c>
      <c r="X108" s="188">
        <f>X38*Inputs!$C$54</f>
        <v>0.5437310278399109</v>
      </c>
      <c r="Y108" s="159">
        <f>Y38*Inputs!$C$54</f>
        <v>0.54332854736119529</v>
      </c>
      <c r="Z108" s="159">
        <f>Z38*Inputs!$C$54</f>
        <v>0.54622340449465412</v>
      </c>
      <c r="AA108" s="159">
        <f>AA38*Inputs!$C$54</f>
        <v>0.55183574716199912</v>
      </c>
      <c r="AB108" s="159">
        <f>AB38*Inputs!$C$54</f>
        <v>0.56142682467033256</v>
      </c>
      <c r="AC108" s="159">
        <f>AC38*Inputs!$C$54</f>
        <v>0.56416202858345832</v>
      </c>
      <c r="AD108" s="159">
        <f>AD38*Inputs!$C$54</f>
        <v>0.56959693139535561</v>
      </c>
      <c r="AE108" s="159">
        <f>AE38*Inputs!$C$54</f>
        <v>0.57633257876219968</v>
      </c>
      <c r="AF108" s="159">
        <f>AF38*Inputs!$C$54</f>
        <v>0.5829820276256924</v>
      </c>
      <c r="AG108" s="159">
        <f>AG38*Inputs!$C$54</f>
        <v>0.59925958262094015</v>
      </c>
      <c r="AH108" s="188">
        <f>AH38*Inputs!$C$54</f>
        <v>0.61246395804924014</v>
      </c>
    </row>
    <row r="109" spans="1:36">
      <c r="A109" s="9" t="s">
        <v>348</v>
      </c>
      <c r="B109" s="35">
        <v>1</v>
      </c>
      <c r="C109" s="336">
        <f>C39*Inputs!$C$54</f>
        <v>0</v>
      </c>
      <c r="D109" s="336">
        <f>D39*Inputs!$C$55</f>
        <v>0</v>
      </c>
      <c r="E109" s="336">
        <f>E39*Inputs!$C$55</f>
        <v>2.3000000000000003E-2</v>
      </c>
      <c r="F109" s="336">
        <f>F39*Inputs!$C$55</f>
        <v>2.3000000000000003E-2</v>
      </c>
      <c r="G109" s="336">
        <f>G39*Inputs!$C$55</f>
        <v>2.3000000000000003E-2</v>
      </c>
      <c r="H109" s="408">
        <f>H39*Inputs!$C$55</f>
        <v>2.3000000000000003E-2</v>
      </c>
      <c r="I109" s="14">
        <f>I39*Inputs!$C$55</f>
        <v>2.6127878916341562E-2</v>
      </c>
      <c r="J109" s="14">
        <f>J39*Inputs!$C$55</f>
        <v>2.8657340009535889E-2</v>
      </c>
      <c r="K109" s="14">
        <f>K39*Inputs!$C$55</f>
        <v>3.1394107452878732E-2</v>
      </c>
      <c r="L109" s="14">
        <f>L39*Inputs!$C$55</f>
        <v>3.3150767081498236E-2</v>
      </c>
      <c r="M109" s="14">
        <f>M39*Inputs!$C$55</f>
        <v>3.5540738985221171E-2</v>
      </c>
      <c r="N109" s="183">
        <f>N39*Inputs!$C$55</f>
        <v>3.8932486538256254E-2</v>
      </c>
      <c r="O109" s="14">
        <f>O39*Inputs!$C$55</f>
        <v>4.1758892300021222E-2</v>
      </c>
      <c r="P109" s="14">
        <f>P39*Inputs!$C$55</f>
        <v>4.5241040733300236E-2</v>
      </c>
      <c r="Q109" s="14">
        <f>Q39*Inputs!$C$55</f>
        <v>4.8135398514023188E-2</v>
      </c>
      <c r="R109" s="14">
        <f>R39*Inputs!$C$55</f>
        <v>5.1932005955239974E-2</v>
      </c>
      <c r="S109" s="14">
        <f>S39*Inputs!$C$55</f>
        <v>5.5467978847632271E-2</v>
      </c>
      <c r="T109" s="14">
        <f>T39*Inputs!$C$55</f>
        <v>5.8921580113520812E-2</v>
      </c>
      <c r="U109" s="14">
        <f>U39*Inputs!$C$55</f>
        <v>6.4306196175301658E-2</v>
      </c>
      <c r="V109" s="14">
        <f>V39*Inputs!$C$55</f>
        <v>6.8544446763461914E-2</v>
      </c>
      <c r="W109" s="14">
        <f>W39*Inputs!$C$55</f>
        <v>7.3838967219644752E-2</v>
      </c>
      <c r="X109" s="188">
        <f>X39*Inputs!$C$55</f>
        <v>7.9150719242518666E-2</v>
      </c>
      <c r="Y109" s="159">
        <f>Y39*Inputs!$C$55</f>
        <v>7.9092130312072739E-2</v>
      </c>
      <c r="Z109" s="159">
        <f>Z39*Inputs!$C$55</f>
        <v>7.9513533565677502E-2</v>
      </c>
      <c r="AA109" s="159">
        <f>AA39*Inputs!$C$55</f>
        <v>8.0330520156493543E-2</v>
      </c>
      <c r="AB109" s="159">
        <f>AB39*Inputs!$C$55</f>
        <v>8.17266896672003E-2</v>
      </c>
      <c r="AC109" s="159">
        <f>AC39*Inputs!$C$55</f>
        <v>8.2124852262148995E-2</v>
      </c>
      <c r="AD109" s="159">
        <f>AD39*Inputs!$C$55</f>
        <v>8.2916009000589735E-2</v>
      </c>
      <c r="AE109" s="159">
        <f>AE39*Inputs!$C$55</f>
        <v>8.3896514629940466E-2</v>
      </c>
      <c r="AF109" s="159">
        <f>AF39*Inputs!$C$55</f>
        <v>8.4864472375891925E-2</v>
      </c>
      <c r="AG109" s="159">
        <f>AG39*Inputs!$C$55</f>
        <v>8.7233989875200146E-2</v>
      </c>
      <c r="AH109" s="188">
        <f>AH39*Inputs!$C$55</f>
        <v>8.9156145791978003E-2</v>
      </c>
    </row>
    <row r="110" spans="1:36">
      <c r="A110" s="9" t="s">
        <v>344</v>
      </c>
      <c r="B110" s="35">
        <v>1</v>
      </c>
      <c r="C110" s="336">
        <f>C40*Inputs!$C$51</f>
        <v>2.7000000000000001E-3</v>
      </c>
      <c r="D110" s="336">
        <f>D40*Inputs!$C$51</f>
        <v>2.9935689006880865E-3</v>
      </c>
      <c r="E110" s="336">
        <f>E40*Inputs!$C$51</f>
        <v>3.2620151364840325E-3</v>
      </c>
      <c r="F110" s="336">
        <f>F40*Inputs!$C$51</f>
        <v>3.6007205097858715E-3</v>
      </c>
      <c r="G110" s="336">
        <f>G40*Inputs!$C$51</f>
        <v>3.6904897275082896E-3</v>
      </c>
      <c r="H110" s="408">
        <f>H40*Inputs!$C$51</f>
        <v>2.7000000000000001E-3</v>
      </c>
      <c r="I110" s="14">
        <f>I40*Inputs!$C$51</f>
        <v>3.0671857858314E-3</v>
      </c>
      <c r="J110" s="14">
        <f>J40*Inputs!$C$51</f>
        <v>3.3641225228585605E-3</v>
      </c>
      <c r="K110" s="14">
        <f>K40*Inputs!$C$51</f>
        <v>3.6853952227292428E-3</v>
      </c>
      <c r="L110" s="14">
        <f>L40*Inputs!$C$51</f>
        <v>3.8916117878280538E-3</v>
      </c>
      <c r="M110" s="14">
        <f>M40*Inputs!$C$51</f>
        <v>4.1721737069607455E-3</v>
      </c>
      <c r="N110" s="183">
        <f>N40*Inputs!$C$51</f>
        <v>4.5703353762300827E-3</v>
      </c>
      <c r="O110" s="14">
        <f>O40*Inputs!$C$51</f>
        <v>4.9021308352198822E-3</v>
      </c>
      <c r="P110" s="14">
        <f>P40*Inputs!$C$51</f>
        <v>5.3109047817352451E-3</v>
      </c>
      <c r="Q110" s="14">
        <f>Q40*Inputs!$C$51</f>
        <v>5.6506772168635928E-3</v>
      </c>
      <c r="R110" s="14">
        <f>R40*Inputs!$C$51</f>
        <v>6.0963659164846931E-3</v>
      </c>
      <c r="S110" s="14">
        <f>S40*Inputs!$C$51</f>
        <v>6.5114583864611811E-3</v>
      </c>
      <c r="T110" s="14">
        <f>T40*Inputs!$C$51</f>
        <v>6.9168811437611416E-3</v>
      </c>
      <c r="U110" s="14">
        <f>U40*Inputs!$C$51</f>
        <v>7.5489882466658496E-3</v>
      </c>
      <c r="V110" s="14">
        <f>V40*Inputs!$C$51</f>
        <v>8.0465220113629232E-3</v>
      </c>
      <c r="W110" s="14">
        <f>W40*Inputs!$C$51</f>
        <v>8.6680526736104737E-3</v>
      </c>
      <c r="X110" s="188">
        <f>X40*Inputs!$C$51</f>
        <v>9.2916061719478457E-3</v>
      </c>
      <c r="Y110" s="159">
        <f>Y40*Inputs!$C$51</f>
        <v>9.2847283409824549E-3</v>
      </c>
      <c r="Z110" s="159">
        <f>Z40*Inputs!$C$51</f>
        <v>9.334197418579538E-3</v>
      </c>
      <c r="AA110" s="159">
        <f>AA40*Inputs!$C$51</f>
        <v>9.4301045401101163E-3</v>
      </c>
      <c r="AB110" s="159">
        <f>AB40*Inputs!$C$51</f>
        <v>9.5940027000626475E-3</v>
      </c>
      <c r="AC110" s="159">
        <f>AC40*Inputs!$C$51</f>
        <v>9.6407435264261893E-3</v>
      </c>
      <c r="AD110" s="159">
        <f>AD40*Inputs!$C$51</f>
        <v>9.7336184478953227E-3</v>
      </c>
      <c r="AE110" s="159">
        <f>AE40*Inputs!$C$51</f>
        <v>9.848721282645188E-3</v>
      </c>
      <c r="AF110" s="159">
        <f>AF40*Inputs!$C$51</f>
        <v>9.9623511049960131E-3</v>
      </c>
      <c r="AG110" s="159">
        <f>AG40*Inputs!$C$51</f>
        <v>1.0240511854914806E-2</v>
      </c>
      <c r="AH110" s="188">
        <f>AH40*Inputs!$C$51</f>
        <v>1.0466156245145245E-2</v>
      </c>
    </row>
    <row r="111" spans="1:36">
      <c r="A111" s="10" t="s">
        <v>120</v>
      </c>
      <c r="B111" s="35">
        <v>1</v>
      </c>
      <c r="C111" s="336"/>
      <c r="D111" s="336"/>
      <c r="E111" s="336"/>
      <c r="F111" s="336"/>
      <c r="G111" s="336"/>
      <c r="H111" s="408"/>
      <c r="I111" s="14"/>
      <c r="J111" s="14"/>
      <c r="K111" s="14"/>
      <c r="L111" s="14"/>
      <c r="M111" s="14"/>
      <c r="N111" s="188"/>
      <c r="O111" s="14"/>
      <c r="P111" s="14"/>
      <c r="Q111" s="14"/>
      <c r="R111" s="14"/>
      <c r="S111" s="14"/>
      <c r="T111" s="14"/>
      <c r="U111" s="14"/>
      <c r="V111" s="14"/>
      <c r="W111" s="14"/>
      <c r="X111" s="188"/>
    </row>
    <row r="112" spans="1:36">
      <c r="A112" s="10" t="s">
        <v>53</v>
      </c>
      <c r="B112" s="35">
        <v>1</v>
      </c>
      <c r="C112" s="336">
        <f>C42*Inputs!$C$57</f>
        <v>0</v>
      </c>
      <c r="D112" s="336">
        <f>D42*Inputs!$C$57</f>
        <v>0</v>
      </c>
      <c r="E112" s="336">
        <f>E42*Inputs!$C$57</f>
        <v>0</v>
      </c>
      <c r="F112" s="336">
        <f>F42*Inputs!$C$57</f>
        <v>0</v>
      </c>
      <c r="G112" s="336">
        <f>G42*Inputs!$C$57</f>
        <v>0</v>
      </c>
      <c r="H112" s="408">
        <f>H42*Inputs!$C$57</f>
        <v>0</v>
      </c>
      <c r="I112" s="14">
        <f>I42*Inputs!$C$57</f>
        <v>0</v>
      </c>
      <c r="J112" s="14">
        <f>J42*Inputs!$C$57</f>
        <v>0</v>
      </c>
      <c r="K112" s="14">
        <f>K42*Inputs!$C$57</f>
        <v>0</v>
      </c>
      <c r="L112" s="14">
        <f>L42*Inputs!$C$57</f>
        <v>0</v>
      </c>
      <c r="M112" s="14">
        <f>M42*Inputs!$C$57</f>
        <v>0</v>
      </c>
      <c r="N112" s="183">
        <f>N42*Inputs!$C$57</f>
        <v>0</v>
      </c>
      <c r="O112" s="14">
        <f>O42*Inputs!$C$57</f>
        <v>0</v>
      </c>
      <c r="P112" s="14">
        <f>P42*Inputs!$C$57</f>
        <v>0</v>
      </c>
      <c r="Q112" s="14">
        <f>Q42*Inputs!$C$57</f>
        <v>0</v>
      </c>
      <c r="R112" s="14">
        <f>R42*Inputs!$C$57</f>
        <v>0</v>
      </c>
      <c r="S112" s="14">
        <f>S42*Inputs!$C$57</f>
        <v>0</v>
      </c>
      <c r="T112" s="14">
        <f>T42*Inputs!$C$57</f>
        <v>0</v>
      </c>
      <c r="U112" s="14">
        <f>U42*Inputs!$C$57</f>
        <v>0</v>
      </c>
      <c r="V112" s="14">
        <f>V42*Inputs!$C$57</f>
        <v>0</v>
      </c>
      <c r="W112" s="14">
        <f>W42*Inputs!$C$57</f>
        <v>0</v>
      </c>
      <c r="X112" s="188">
        <f>X42*Inputs!$C$57</f>
        <v>0</v>
      </c>
      <c r="Y112" s="159">
        <f>Y42*Inputs!$C$57</f>
        <v>0</v>
      </c>
      <c r="Z112" s="159">
        <f>Z42*Inputs!$C$57</f>
        <v>0</v>
      </c>
      <c r="AA112" s="159">
        <f>AA42*Inputs!$C$57</f>
        <v>0</v>
      </c>
      <c r="AB112" s="159">
        <f>AB42*Inputs!$C$57</f>
        <v>0</v>
      </c>
      <c r="AC112" s="159">
        <f>AC42*Inputs!$C$57</f>
        <v>0</v>
      </c>
      <c r="AD112" s="159">
        <f>AD42*Inputs!$C$57</f>
        <v>0</v>
      </c>
      <c r="AE112" s="159">
        <f>AE42*Inputs!$C$57</f>
        <v>0</v>
      </c>
      <c r="AF112" s="159">
        <f>AF42*Inputs!$C$57</f>
        <v>0</v>
      </c>
      <c r="AG112" s="159">
        <f>AG42*Inputs!$C$57</f>
        <v>0</v>
      </c>
      <c r="AH112" s="188">
        <f>AH42*Inputs!$C$57</f>
        <v>0</v>
      </c>
      <c r="AI112" s="31" t="s">
        <v>0</v>
      </c>
    </row>
    <row r="113" spans="1:35" s="20" customFormat="1">
      <c r="A113" s="10" t="s">
        <v>384</v>
      </c>
      <c r="B113" s="37"/>
      <c r="C113" s="339">
        <f>SUM(C100:C112)</f>
        <v>4634.4612000000006</v>
      </c>
      <c r="D113" s="339">
        <f t="shared" ref="D113:AH113" si="84">SUM(D100:D112)</f>
        <v>4879.9438675276679</v>
      </c>
      <c r="E113" s="339">
        <f t="shared" si="84"/>
        <v>5078.9013811919804</v>
      </c>
      <c r="F113" s="339">
        <f t="shared" si="84"/>
        <v>5369.5723034665452</v>
      </c>
      <c r="G113" s="339">
        <f t="shared" si="84"/>
        <v>5248.0952231604761</v>
      </c>
      <c r="H113" s="410">
        <f t="shared" si="84"/>
        <v>4588.4427652350714</v>
      </c>
      <c r="I113" s="19">
        <f t="shared" si="84"/>
        <v>5009.9207890062362</v>
      </c>
      <c r="J113" s="19">
        <f t="shared" si="84"/>
        <v>5306.260260697698</v>
      </c>
      <c r="K113" s="19">
        <f t="shared" si="84"/>
        <v>5623.0243759444766</v>
      </c>
      <c r="L113" s="19">
        <f t="shared" si="84"/>
        <v>5776.7388639616647</v>
      </c>
      <c r="M113" s="19">
        <f t="shared" si="84"/>
        <v>6056.5861652332169</v>
      </c>
      <c r="N113" s="183">
        <f t="shared" si="84"/>
        <v>6525.7392162269362</v>
      </c>
      <c r="O113" s="19">
        <f t="shared" si="84"/>
        <v>6658.9291392937339</v>
      </c>
      <c r="P113" s="19">
        <f t="shared" si="84"/>
        <v>6868.7101363823349</v>
      </c>
      <c r="Q113" s="19">
        <f t="shared" si="84"/>
        <v>6963.9986180341566</v>
      </c>
      <c r="R113" s="19">
        <f t="shared" si="84"/>
        <v>7165.7202637702676</v>
      </c>
      <c r="S113" s="19">
        <f t="shared" si="84"/>
        <v>7306.1980805372414</v>
      </c>
      <c r="T113" s="19">
        <f t="shared" si="84"/>
        <v>7415.7611440331757</v>
      </c>
      <c r="U113" s="19">
        <f t="shared" si="84"/>
        <v>7740.8392913713633</v>
      </c>
      <c r="V113" s="19">
        <f t="shared" si="84"/>
        <v>7899.438076961992</v>
      </c>
      <c r="W113" s="19">
        <f t="shared" si="84"/>
        <v>8155.4054658270779</v>
      </c>
      <c r="X113" s="183">
        <f t="shared" si="84"/>
        <v>8387.0631285850122</v>
      </c>
      <c r="Y113" s="207">
        <f t="shared" si="84"/>
        <v>8333.3092048642302</v>
      </c>
      <c r="Z113" s="207">
        <f t="shared" si="84"/>
        <v>8329.9101397852337</v>
      </c>
      <c r="AA113" s="207">
        <f t="shared" si="84"/>
        <v>8367.2082961612032</v>
      </c>
      <c r="AB113" s="207">
        <f t="shared" si="84"/>
        <v>8463.503588224894</v>
      </c>
      <c r="AC113" s="207">
        <f t="shared" si="84"/>
        <v>8455.3680070192822</v>
      </c>
      <c r="AD113" s="207">
        <f t="shared" si="84"/>
        <v>8486.9791627237828</v>
      </c>
      <c r="AE113" s="207">
        <f t="shared" si="84"/>
        <v>8536.906355955176</v>
      </c>
      <c r="AF113" s="207">
        <f t="shared" si="84"/>
        <v>8584.3854323897267</v>
      </c>
      <c r="AG113" s="207">
        <f t="shared" si="84"/>
        <v>8771.6316612415139</v>
      </c>
      <c r="AH113" s="183">
        <f t="shared" si="84"/>
        <v>8911.3144725250404</v>
      </c>
      <c r="AI113" s="31" t="s">
        <v>0</v>
      </c>
    </row>
    <row r="114" spans="1:35" s="20" customFormat="1">
      <c r="A114" s="10" t="s">
        <v>385</v>
      </c>
      <c r="B114" s="37"/>
      <c r="C114" s="339">
        <f>SUM(C101:C103)</f>
        <v>4171.5285000000003</v>
      </c>
      <c r="D114" s="339">
        <f t="shared" ref="D114:AH114" si="85">SUM(D101:D103)</f>
        <v>4308.199240897884</v>
      </c>
      <c r="E114" s="339">
        <f t="shared" si="85"/>
        <v>4372.4847872029522</v>
      </c>
      <c r="F114" s="339">
        <f t="shared" si="85"/>
        <v>4494.977761046327</v>
      </c>
      <c r="G114" s="339">
        <f t="shared" si="85"/>
        <v>4290.1960827583243</v>
      </c>
      <c r="H114" s="410">
        <f t="shared" si="85"/>
        <v>4019.3161176200001</v>
      </c>
      <c r="I114" s="19">
        <f t="shared" si="85"/>
        <v>4296.5848654180591</v>
      </c>
      <c r="J114" s="19">
        <f t="shared" si="85"/>
        <v>4434.5525459927876</v>
      </c>
      <c r="K114" s="19">
        <f t="shared" si="85"/>
        <v>4571.4769796648588</v>
      </c>
      <c r="L114" s="19">
        <f t="shared" si="85"/>
        <v>4542.5134897336557</v>
      </c>
      <c r="M114" s="19">
        <f t="shared" si="85"/>
        <v>4582.7178934696612</v>
      </c>
      <c r="N114" s="183">
        <f t="shared" si="85"/>
        <v>4723.9209067940001</v>
      </c>
      <c r="O114" s="19">
        <f t="shared" si="85"/>
        <v>4726.303113625394</v>
      </c>
      <c r="P114" s="19">
        <f t="shared" si="85"/>
        <v>4774.9282390724511</v>
      </c>
      <c r="Q114" s="19">
        <f t="shared" si="85"/>
        <v>4736.2641452001844</v>
      </c>
      <c r="R114" s="19">
        <f t="shared" si="85"/>
        <v>4762.276571988984</v>
      </c>
      <c r="S114" s="19">
        <f t="shared" si="85"/>
        <v>4739.107489580626</v>
      </c>
      <c r="T114" s="19">
        <f t="shared" si="85"/>
        <v>4688.8358610836895</v>
      </c>
      <c r="U114" s="19">
        <f t="shared" si="85"/>
        <v>4764.7108192073947</v>
      </c>
      <c r="V114" s="19">
        <f t="shared" si="85"/>
        <v>4727.1608820030351</v>
      </c>
      <c r="W114" s="19">
        <f t="shared" si="85"/>
        <v>4738.0947591184049</v>
      </c>
      <c r="X114" s="183">
        <f t="shared" si="85"/>
        <v>4723.9214231144952</v>
      </c>
      <c r="Y114" s="207">
        <f t="shared" si="85"/>
        <v>4672.8790294549572</v>
      </c>
      <c r="Z114" s="207">
        <f t="shared" si="85"/>
        <v>4649.9771746619344</v>
      </c>
      <c r="AA114" s="207">
        <f t="shared" si="85"/>
        <v>4649.4647124829626</v>
      </c>
      <c r="AB114" s="207">
        <f t="shared" si="85"/>
        <v>4681.1444607901167</v>
      </c>
      <c r="AC114" s="207">
        <f t="shared" si="85"/>
        <v>4654.5816811828581</v>
      </c>
      <c r="AD114" s="207">
        <f t="shared" si="85"/>
        <v>4649.5776390485835</v>
      </c>
      <c r="AE114" s="207">
        <f t="shared" si="85"/>
        <v>4654.126456723865</v>
      </c>
      <c r="AF114" s="207">
        <f t="shared" si="85"/>
        <v>4656.8078810048864</v>
      </c>
      <c r="AG114" s="207">
        <f t="shared" si="85"/>
        <v>4734.3914503555889</v>
      </c>
      <c r="AH114" s="183">
        <f t="shared" si="85"/>
        <v>4785.1157585383216</v>
      </c>
      <c r="AI114" s="31"/>
    </row>
    <row r="115" spans="1:35" s="20" customFormat="1">
      <c r="A115" s="10" t="s">
        <v>386</v>
      </c>
      <c r="B115" s="37"/>
      <c r="C115" s="339">
        <f>SUMPRODUCT($B104:$B112,C104:C112)</f>
        <v>462.93270000000001</v>
      </c>
      <c r="D115" s="339">
        <f t="shared" ref="D115:AH115" si="86">SUMPRODUCT($B104:$B112,D104:D112)</f>
        <v>571.7446266297834</v>
      </c>
      <c r="E115" s="339">
        <f t="shared" si="86"/>
        <v>706.41659398902675</v>
      </c>
      <c r="F115" s="339">
        <f t="shared" si="86"/>
        <v>874.59454242021752</v>
      </c>
      <c r="G115" s="339">
        <f t="shared" si="86"/>
        <v>957.89914040215046</v>
      </c>
      <c r="H115" s="410">
        <f t="shared" si="86"/>
        <v>569.12664761507006</v>
      </c>
      <c r="I115" s="19">
        <f t="shared" si="86"/>
        <v>713.33592358817737</v>
      </c>
      <c r="J115" s="19">
        <f t="shared" si="86"/>
        <v>871.7077147049099</v>
      </c>
      <c r="K115" s="19">
        <f t="shared" si="86"/>
        <v>1051.5473962796182</v>
      </c>
      <c r="L115" s="19">
        <f t="shared" si="86"/>
        <v>1234.2253742280086</v>
      </c>
      <c r="M115" s="19">
        <f t="shared" si="86"/>
        <v>1473.8682717635556</v>
      </c>
      <c r="N115" s="183">
        <f t="shared" si="86"/>
        <v>1801.8183094329361</v>
      </c>
      <c r="O115" s="19">
        <f t="shared" si="86"/>
        <v>1932.6260256683404</v>
      </c>
      <c r="P115" s="19">
        <f t="shared" si="86"/>
        <v>2093.7818973098838</v>
      </c>
      <c r="Q115" s="19">
        <f t="shared" si="86"/>
        <v>2227.7344728339726</v>
      </c>
      <c r="R115" s="19">
        <f t="shared" si="86"/>
        <v>2403.4436917812836</v>
      </c>
      <c r="S115" s="19">
        <f t="shared" si="86"/>
        <v>2567.0905909566145</v>
      </c>
      <c r="T115" s="19">
        <f t="shared" si="86"/>
        <v>2726.9252829494853</v>
      </c>
      <c r="U115" s="19">
        <f t="shared" si="86"/>
        <v>2976.128472163969</v>
      </c>
      <c r="V115" s="19">
        <f t="shared" si="86"/>
        <v>3172.2771949589578</v>
      </c>
      <c r="W115" s="19">
        <f t="shared" si="86"/>
        <v>3417.3107067086735</v>
      </c>
      <c r="X115" s="183">
        <f t="shared" si="86"/>
        <v>3663.1417054705184</v>
      </c>
      <c r="Y115" s="207">
        <f t="shared" si="86"/>
        <v>3660.4301754092712</v>
      </c>
      <c r="Z115" s="207">
        <f t="shared" si="86"/>
        <v>3679.9329651232961</v>
      </c>
      <c r="AA115" s="207">
        <f t="shared" si="86"/>
        <v>3717.7435836782411</v>
      </c>
      <c r="AB115" s="207">
        <f t="shared" si="86"/>
        <v>3782.3591274347773</v>
      </c>
      <c r="AC115" s="207">
        <f t="shared" si="86"/>
        <v>3800.7863258364232</v>
      </c>
      <c r="AD115" s="207">
        <f t="shared" si="86"/>
        <v>3837.4015236752011</v>
      </c>
      <c r="AE115" s="207">
        <f t="shared" si="86"/>
        <v>3882.779899231311</v>
      </c>
      <c r="AF115" s="207">
        <f t="shared" si="86"/>
        <v>3927.5775513848412</v>
      </c>
      <c r="AG115" s="207">
        <f t="shared" si="86"/>
        <v>4037.2402108859242</v>
      </c>
      <c r="AH115" s="183">
        <f t="shared" si="86"/>
        <v>4126.1987139867206</v>
      </c>
    </row>
    <row r="116" spans="1:35" s="20" customFormat="1">
      <c r="A116" s="10" t="s">
        <v>142</v>
      </c>
      <c r="B116" s="37"/>
      <c r="C116" s="339">
        <f>C47*Inputs!$C$60</f>
        <v>2911.6780000000012</v>
      </c>
      <c r="D116" s="339">
        <f>D47*Inputs!$C$60</f>
        <v>2581.2639417535006</v>
      </c>
      <c r="E116" s="339">
        <f>E47*Inputs!$C$60</f>
        <v>2531.3709537945338</v>
      </c>
      <c r="F116" s="339">
        <f>F47*Inputs!$C$60</f>
        <v>1999.8235980125248</v>
      </c>
      <c r="G116" s="339">
        <f>G47*Inputs!$C$60</f>
        <v>2108.931693886565</v>
      </c>
      <c r="H116" s="410">
        <f>H47*Inputs!$C$60</f>
        <v>2637.9579131222677</v>
      </c>
      <c r="I116" s="19">
        <f>I47*Inputs!$C$60</f>
        <v>2391.4555273690326</v>
      </c>
      <c r="J116" s="19">
        <f>J47*Inputs!$C$60</f>
        <v>2224.9759325751638</v>
      </c>
      <c r="K116" s="19">
        <f>K47*Inputs!$C$60</f>
        <v>2389.4677513859856</v>
      </c>
      <c r="L116" s="19">
        <f>L47*Inputs!$C$60</f>
        <v>2635.1831070374374</v>
      </c>
      <c r="M116" s="19">
        <f>M47*Inputs!$C$60</f>
        <v>2664.0651616782397</v>
      </c>
      <c r="N116" s="183">
        <f>N47*Inputs!$C$60</f>
        <v>2524.5811118165134</v>
      </c>
      <c r="O116" s="19">
        <f>O47*Inputs!$C$60</f>
        <v>2589.1577573141599</v>
      </c>
      <c r="P116" s="19">
        <f>P47*Inputs!$C$60</f>
        <v>2575.7683129733787</v>
      </c>
      <c r="Q116" s="19">
        <f>Q47*Inputs!$C$60</f>
        <v>2582.4495739111671</v>
      </c>
      <c r="R116" s="19">
        <f>R47*Inputs!$C$60</f>
        <v>2570.4246487838527</v>
      </c>
      <c r="S116" s="19">
        <f>S47*Inputs!$C$60</f>
        <v>2570.9139006234554</v>
      </c>
      <c r="T116" s="19">
        <f>T47*Inputs!$C$60</f>
        <v>2554.4084694578569</v>
      </c>
      <c r="U116" s="19">
        <f>U47*Inputs!$C$60</f>
        <v>2495.209158481141</v>
      </c>
      <c r="V116" s="19">
        <f>V47*Inputs!$C$60</f>
        <v>2468.992278136187</v>
      </c>
      <c r="W116" s="19">
        <f>W47*Inputs!$C$60</f>
        <v>2435.1003392568491</v>
      </c>
      <c r="X116" s="183">
        <f>X47*Inputs!$C$60</f>
        <v>2404.1683071886678</v>
      </c>
      <c r="Y116" s="207">
        <f>Y47*Inputs!$C$60</f>
        <v>2425.8296564845036</v>
      </c>
      <c r="Z116" s="207">
        <f>Z47*Inputs!$C$60</f>
        <v>2440.3889192387219</v>
      </c>
      <c r="AA116" s="207">
        <f>AA47*Inputs!$C$60</f>
        <v>2443.3917971553069</v>
      </c>
      <c r="AB116" s="207">
        <f>AB47*Inputs!$C$60</f>
        <v>2440.8872193048373</v>
      </c>
      <c r="AC116" s="207">
        <f>AC47*Inputs!$C$60</f>
        <v>2453.3674472081057</v>
      </c>
      <c r="AD116" s="207">
        <f>AD47*Inputs!$C$60</f>
        <v>2468.486179343216</v>
      </c>
      <c r="AE116" s="207">
        <f>AE47*Inputs!$C$60</f>
        <v>2478.3164959001779</v>
      </c>
      <c r="AF116" s="207">
        <f>AF47*Inputs!$C$60</f>
        <v>2498.4246515287668</v>
      </c>
      <c r="AG116" s="207">
        <f>AG47*Inputs!$C$60</f>
        <v>2496.6819186310108</v>
      </c>
      <c r="AH116" s="183">
        <f>AH47*Inputs!$C$60</f>
        <v>2496.384805767841</v>
      </c>
      <c r="AI116" s="31"/>
    </row>
    <row r="117" spans="1:35" s="20" customFormat="1">
      <c r="A117" s="10" t="s">
        <v>222</v>
      </c>
      <c r="B117" s="37"/>
      <c r="C117" s="339">
        <f>C48*Inputs!$C$61</f>
        <v>1247.8620000000005</v>
      </c>
      <c r="D117" s="339">
        <f>D48*Inputs!$C$61</f>
        <v>1723.5125396075161</v>
      </c>
      <c r="E117" s="339">
        <f>E48*Inputs!$C$61</f>
        <v>1983.7341617118354</v>
      </c>
      <c r="F117" s="339">
        <f>F48*Inputs!$C$61</f>
        <v>2659.4093883809314</v>
      </c>
      <c r="G117" s="339">
        <f>G48*Inputs!$C$61</f>
        <v>2331.6242375177335</v>
      </c>
      <c r="H117" s="410">
        <f>H48*Inputs!$C$61</f>
        <v>2301.8786928040722</v>
      </c>
      <c r="I117" s="19">
        <f>I48*Inputs!$C$61</f>
        <v>2832.0531765002697</v>
      </c>
      <c r="J117" s="19">
        <f>J48*Inputs!$C$61</f>
        <v>3089.4806854499998</v>
      </c>
      <c r="K117" s="19">
        <f>K48*Inputs!$C$61</f>
        <v>3000.0956811436549</v>
      </c>
      <c r="L117" s="19">
        <f>L48*Inputs!$C$61</f>
        <v>2608.5680977900884</v>
      </c>
      <c r="M117" s="19">
        <f>M48*Inputs!$C$61</f>
        <v>2496.3638339135118</v>
      </c>
      <c r="N117" s="183">
        <f>N48*Inputs!$C$61</f>
        <v>2637.9535000573942</v>
      </c>
      <c r="O117" s="19">
        <f>O48*Inputs!$C$61</f>
        <v>2667.7862734632754</v>
      </c>
      <c r="P117" s="19">
        <f>P48*Inputs!$C$61</f>
        <v>2830.0798565416248</v>
      </c>
      <c r="Q117" s="19">
        <f>Q48*Inputs!$C$61</f>
        <v>2872.2339726781152</v>
      </c>
      <c r="R117" s="19">
        <f>R48*Inputs!$C$61</f>
        <v>3008.5133997422113</v>
      </c>
      <c r="S117" s="19">
        <f>S48*Inputs!$C$61</f>
        <v>3080.1899471218267</v>
      </c>
      <c r="T117" s="19">
        <f>T48*Inputs!$C$61</f>
        <v>3140.2685343333737</v>
      </c>
      <c r="U117" s="19">
        <f>U48*Inputs!$C$61</f>
        <v>3390.8170177824913</v>
      </c>
      <c r="V117" s="19">
        <f>V48*Inputs!$C$61</f>
        <v>3463.5876122864647</v>
      </c>
      <c r="W117" s="19">
        <f>W48*Inputs!$C$61</f>
        <v>3600.5094833563767</v>
      </c>
      <c r="X117" s="183">
        <f>X48*Inputs!$C$61</f>
        <v>3700.359164151721</v>
      </c>
      <c r="Y117" s="207">
        <f>Y48*Inputs!$C$61</f>
        <v>3711.7285589825301</v>
      </c>
      <c r="Z117" s="207">
        <f>Z48*Inputs!$C$61</f>
        <v>3767.7698366310347</v>
      </c>
      <c r="AA117" s="207">
        <f>AA48*Inputs!$C$61</f>
        <v>3868.1847697705643</v>
      </c>
      <c r="AB117" s="207">
        <f>AB48*Inputs!$C$61</f>
        <v>4019.4415608729173</v>
      </c>
      <c r="AC117" s="207">
        <f>AC48*Inputs!$C$61</f>
        <v>4077.3010995745494</v>
      </c>
      <c r="AD117" s="207">
        <f>AD48*Inputs!$C$61</f>
        <v>4164.4222770538136</v>
      </c>
      <c r="AE117" s="207">
        <f>AE48*Inputs!$C$61</f>
        <v>4272.3625588604873</v>
      </c>
      <c r="AF117" s="207">
        <f>AF48*Inputs!$C$61</f>
        <v>4370.0746862488513</v>
      </c>
      <c r="AG117" s="207">
        <f>AG48*Inputs!$C$61</f>
        <v>4605.2366341169381</v>
      </c>
      <c r="AH117" s="183">
        <f>AH48*Inputs!$C$61</f>
        <v>4804.5675133628311</v>
      </c>
      <c r="AI117" s="31"/>
    </row>
    <row r="118" spans="1:35" s="20" customFormat="1">
      <c r="A118" s="10" t="s">
        <v>58</v>
      </c>
      <c r="B118" s="37"/>
      <c r="C118" s="339">
        <f>SUM(C113,C116,C117)</f>
        <v>8794.0012000000024</v>
      </c>
      <c r="D118" s="339">
        <f>SUM(D113,D116,D117)</f>
        <v>9184.7203488886844</v>
      </c>
      <c r="E118" s="339">
        <f t="shared" ref="E118:AH118" si="87">SUM(E113,E116,E117)</f>
        <v>9594.0064966983482</v>
      </c>
      <c r="F118" s="339">
        <f t="shared" si="87"/>
        <v>10028.805289860002</v>
      </c>
      <c r="G118" s="339">
        <f t="shared" si="87"/>
        <v>9688.6511545647736</v>
      </c>
      <c r="H118" s="410">
        <f t="shared" si="87"/>
        <v>9528.2793711614104</v>
      </c>
      <c r="I118" s="19">
        <f t="shared" si="87"/>
        <v>10233.429492875537</v>
      </c>
      <c r="J118" s="19">
        <f t="shared" si="87"/>
        <v>10620.716878722862</v>
      </c>
      <c r="K118" s="19">
        <f t="shared" si="87"/>
        <v>11012.587808474118</v>
      </c>
      <c r="L118" s="19">
        <f t="shared" si="87"/>
        <v>11020.49006878919</v>
      </c>
      <c r="M118" s="19">
        <f t="shared" si="87"/>
        <v>11217.015160824969</v>
      </c>
      <c r="N118" s="183">
        <f t="shared" si="87"/>
        <v>11688.273828100844</v>
      </c>
      <c r="O118" s="19">
        <f t="shared" si="87"/>
        <v>11915.873170071169</v>
      </c>
      <c r="P118" s="19">
        <f t="shared" si="87"/>
        <v>12274.558305897337</v>
      </c>
      <c r="Q118" s="19">
        <f t="shared" si="87"/>
        <v>12418.68216462344</v>
      </c>
      <c r="R118" s="19">
        <f t="shared" si="87"/>
        <v>12744.658312296331</v>
      </c>
      <c r="S118" s="19">
        <f t="shared" si="87"/>
        <v>12957.301928282523</v>
      </c>
      <c r="T118" s="19">
        <f t="shared" si="87"/>
        <v>13110.438147824407</v>
      </c>
      <c r="U118" s="19">
        <f t="shared" si="87"/>
        <v>13626.865467634994</v>
      </c>
      <c r="V118" s="19">
        <f t="shared" si="87"/>
        <v>13832.017967384643</v>
      </c>
      <c r="W118" s="19">
        <f t="shared" si="87"/>
        <v>14191.015288440303</v>
      </c>
      <c r="X118" s="183">
        <f t="shared" si="87"/>
        <v>14491.590599925401</v>
      </c>
      <c r="Y118" s="207">
        <f t="shared" si="87"/>
        <v>14470.867420331264</v>
      </c>
      <c r="Z118" s="207">
        <f t="shared" si="87"/>
        <v>14538.068895654989</v>
      </c>
      <c r="AA118" s="207">
        <f t="shared" si="87"/>
        <v>14678.784863087076</v>
      </c>
      <c r="AB118" s="207">
        <f t="shared" si="87"/>
        <v>14923.832368402649</v>
      </c>
      <c r="AC118" s="207">
        <f t="shared" si="87"/>
        <v>14986.036553801938</v>
      </c>
      <c r="AD118" s="207">
        <f t="shared" si="87"/>
        <v>15119.887619120811</v>
      </c>
      <c r="AE118" s="207">
        <f t="shared" si="87"/>
        <v>15287.585410715841</v>
      </c>
      <c r="AF118" s="207">
        <f t="shared" si="87"/>
        <v>15452.884770167344</v>
      </c>
      <c r="AG118" s="207">
        <f t="shared" si="87"/>
        <v>15873.550213989463</v>
      </c>
      <c r="AH118" s="183">
        <f t="shared" si="87"/>
        <v>16212.266791655711</v>
      </c>
      <c r="AI118" s="31"/>
    </row>
    <row r="119" spans="1:35" s="1" customFormat="1">
      <c r="A119" s="1" t="s">
        <v>335</v>
      </c>
      <c r="B119" s="13"/>
      <c r="C119" s="346">
        <f>C118-'Output - Jobs vs Yr (BAU)'!C55</f>
        <v>1.5400000000008731</v>
      </c>
      <c r="D119" s="346">
        <f>D118-'Output - Jobs vs Yr (BAU)'!D55</f>
        <v>154.11914888868341</v>
      </c>
      <c r="E119" s="346">
        <f>E118-'Output - Jobs vs Yr (BAU)'!E55</f>
        <v>128.44830964455832</v>
      </c>
      <c r="F119" s="346">
        <f>F118-'Output - Jobs vs Yr (BAU)'!F55</f>
        <v>204.08255291995374</v>
      </c>
      <c r="G119" s="346">
        <f>G118-'Output - Jobs vs Yr (BAU)'!G55</f>
        <v>228.47814520962493</v>
      </c>
      <c r="H119" s="411">
        <f>H118-'Output - Jobs vs Yr (BAU)'!H55</f>
        <v>-15.685130709320219</v>
      </c>
      <c r="I119" s="15">
        <f>I118-'Output - Jobs vs Yr (BAU)'!I55</f>
        <v>184.87060340594508</v>
      </c>
      <c r="J119" s="15">
        <f>J118-'Output - Jobs vs Yr (BAU)'!J55</f>
        <v>192.52834598798654</v>
      </c>
      <c r="K119" s="15">
        <f>K118-'Output - Jobs vs Yr (BAU)'!K55</f>
        <v>311.58991685186993</v>
      </c>
      <c r="L119" s="15">
        <f>L118-'Output - Jobs vs Yr (BAU)'!L55</f>
        <v>340.14531074312072</v>
      </c>
      <c r="M119" s="15">
        <f>M118-'Output - Jobs vs Yr (BAU)'!M55</f>
        <v>384.44734942243667</v>
      </c>
      <c r="N119" s="183">
        <f>N118-'Output - Jobs vs Yr (BAU)'!N55</f>
        <v>450.0472865992142</v>
      </c>
      <c r="O119" s="15">
        <f>O118-'Output - Jobs vs Yr (BAU)'!O55</f>
        <v>341.2920062345147</v>
      </c>
      <c r="P119" s="15">
        <f>P118-'Output - Jobs vs Yr (BAU)'!P55</f>
        <v>412.06197807424724</v>
      </c>
      <c r="Q119" s="15">
        <f>Q118-'Output - Jobs vs Yr (BAU)'!Q55</f>
        <v>438.52749841987315</v>
      </c>
      <c r="R119" s="15">
        <f>R118-'Output - Jobs vs Yr (BAU)'!R55</f>
        <v>519.75958365797123</v>
      </c>
      <c r="S119" s="15">
        <f>S118-'Output - Jobs vs Yr (BAU)'!S55</f>
        <v>584.23943705733473</v>
      </c>
      <c r="T119" s="15">
        <f>T118-'Output - Jobs vs Yr (BAU)'!T55</f>
        <v>648.75439592593284</v>
      </c>
      <c r="U119" s="15">
        <f>U118-'Output - Jobs vs Yr (BAU)'!U55</f>
        <v>785.9546885990203</v>
      </c>
      <c r="V119" s="15">
        <f>V118-'Output - Jobs vs Yr (BAU)'!V55</f>
        <v>867.21807701699618</v>
      </c>
      <c r="W119" s="15">
        <f>W118-'Output - Jobs vs Yr (BAU)'!W55</f>
        <v>985.39120853963868</v>
      </c>
      <c r="X119" s="191">
        <f>X118-'Output - Jobs vs Yr (BAU)'!X55</f>
        <v>1109.6510325222462</v>
      </c>
      <c r="Y119" s="131">
        <f>Y118-'Output - Jobs vs Yr (BAU)'!Y55</f>
        <v>1107.6930000835146</v>
      </c>
      <c r="Z119" s="131">
        <f>Z118-'Output - Jobs vs Yr (BAU)'!Z55</f>
        <v>1121.2281384224607</v>
      </c>
      <c r="AA119" s="131">
        <f>AA118-'Output - Jobs vs Yr (BAU)'!AA55</f>
        <v>1142.1735953768402</v>
      </c>
      <c r="AB119" s="131">
        <f>AB118-'Output - Jobs vs Yr (BAU)'!AB55</f>
        <v>1186.8372698439725</v>
      </c>
      <c r="AC119" s="131">
        <f>AC118-'Output - Jobs vs Yr (BAU)'!AC55</f>
        <v>1202.0845202952205</v>
      </c>
      <c r="AD119" s="131">
        <f>AD118-'Output - Jobs vs Yr (BAU)'!AD55</f>
        <v>1227.0712704265825</v>
      </c>
      <c r="AE119" s="131">
        <f>AE118-'Output - Jobs vs Yr (BAU)'!AE55</f>
        <v>1282.7650891543053</v>
      </c>
      <c r="AF119" s="131">
        <f>AF118-'Output - Jobs vs Yr (BAU)'!AF55</f>
        <v>1374.8097327392061</v>
      </c>
      <c r="AG119" s="131">
        <f>AG118-'Output - Jobs vs Yr (BAU)'!AG55</f>
        <v>1493.5081487142452</v>
      </c>
      <c r="AH119" s="191">
        <f>AH118-'Output - Jobs vs Yr (BAU)'!AH55</f>
        <v>1598.043646956783</v>
      </c>
    </row>
    <row r="120" spans="1:35" s="1" customFormat="1">
      <c r="B120" s="13"/>
      <c r="C120" s="333"/>
      <c r="D120" s="346"/>
      <c r="E120" s="346"/>
      <c r="F120" s="346"/>
      <c r="G120" s="346"/>
      <c r="H120" s="411"/>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1"/>
    </row>
    <row r="121" spans="1:35" hidden="1">
      <c r="W121" s="2" t="s">
        <v>133</v>
      </c>
      <c r="X121" s="188">
        <f>X100</f>
        <v>0</v>
      </c>
    </row>
    <row r="122" spans="1:35" hidden="1">
      <c r="W122" s="2" t="s">
        <v>136</v>
      </c>
      <c r="X122" s="188">
        <f>X103-'Output - Jobs vs Yr (BAU)'!X43</f>
        <v>-2.5094920601986814E-5</v>
      </c>
    </row>
    <row r="123" spans="1:35" hidden="1">
      <c r="W123" s="2" t="s">
        <v>134</v>
      </c>
      <c r="X123" s="188">
        <f>X115-'Output - Jobs vs Yr (BAU)'!X51</f>
        <v>2206.6733071178278</v>
      </c>
    </row>
    <row r="124" spans="1:35" hidden="1">
      <c r="W124" s="2" t="s">
        <v>137</v>
      </c>
      <c r="X124" s="188">
        <f>SUM(X101,X106,X111)</f>
        <v>0</v>
      </c>
    </row>
    <row r="125" spans="1:35" hidden="1">
      <c r="W125" s="2" t="s">
        <v>132</v>
      </c>
      <c r="X125" s="188">
        <f>SUM(X121:X124)</f>
        <v>2206.6732820229072</v>
      </c>
    </row>
    <row r="126" spans="1:35">
      <c r="A126" s="1" t="s">
        <v>140</v>
      </c>
      <c r="C126" s="333">
        <v>2009</v>
      </c>
      <c r="D126" s="333">
        <v>2010</v>
      </c>
      <c r="E126" s="333">
        <v>2011</v>
      </c>
      <c r="F126" s="333">
        <v>2012</v>
      </c>
      <c r="G126" s="333">
        <v>2013</v>
      </c>
      <c r="H126" s="406">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61</v>
      </c>
      <c r="B127" s="35">
        <v>0</v>
      </c>
      <c r="C127" s="336">
        <v>0</v>
      </c>
      <c r="D127" s="336">
        <f xml:space="preserve"> IF(D100&gt; 0, D100*Inputs!$H44, 0)</f>
        <v>0</v>
      </c>
      <c r="E127" s="336">
        <f xml:space="preserve"> IF(E100&gt; 0, E100*Inputs!$H44, 0)</f>
        <v>0</v>
      </c>
      <c r="F127" s="336">
        <f xml:space="preserve"> IF(F100&gt; 0, F100*Inputs!$H44, 0)</f>
        <v>0</v>
      </c>
      <c r="G127" s="336">
        <f xml:space="preserve"> IF(G100&gt; 0, G100*Inputs!$H44, 0)</f>
        <v>0</v>
      </c>
      <c r="H127" s="408">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60</v>
      </c>
      <c r="B128" s="35">
        <v>0</v>
      </c>
      <c r="C128" s="336">
        <f>C101*Inputs!$H47</f>
        <v>0</v>
      </c>
      <c r="D128" s="336">
        <f>D101*Inputs!$H47</f>
        <v>0</v>
      </c>
      <c r="E128" s="336">
        <f>E101*Inputs!$H47</f>
        <v>0</v>
      </c>
      <c r="F128" s="336">
        <f>F101*Inputs!$H47</f>
        <v>0</v>
      </c>
      <c r="G128" s="336">
        <f>G101*Inputs!$H47</f>
        <v>0</v>
      </c>
      <c r="H128" s="408">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49</v>
      </c>
      <c r="B129" s="35">
        <v>0</v>
      </c>
      <c r="C129" s="336">
        <f>C102*Inputs!$H48</f>
        <v>199.66365000000002</v>
      </c>
      <c r="D129" s="336">
        <f>D102*Inputs!$H48</f>
        <v>205.85222076369061</v>
      </c>
      <c r="E129" s="336">
        <f>E102*Inputs!$H48</f>
        <v>208.5587776836546</v>
      </c>
      <c r="F129" s="336">
        <f>F102*Inputs!$H48</f>
        <v>214.01884136255003</v>
      </c>
      <c r="G129" s="336">
        <f>G102*Inputs!$H48</f>
        <v>203.89627276827554</v>
      </c>
      <c r="H129" s="408">
        <f>H102*Inputs!$H48</f>
        <v>208.67667119999999</v>
      </c>
      <c r="I129" s="14">
        <f>I102*Inputs!$H48</f>
        <v>219.44217315147304</v>
      </c>
      <c r="J129" s="14">
        <f>J102*Inputs!$H48</f>
        <v>222.74761168378683</v>
      </c>
      <c r="K129" s="14">
        <f>K102*Inputs!$H48</f>
        <v>225.77424661491125</v>
      </c>
      <c r="L129" s="14">
        <f>L102*Inputs!$H48</f>
        <v>220.52258456297054</v>
      </c>
      <c r="M129" s="14">
        <f>M102*Inputs!$H48</f>
        <v>218.62481011521308</v>
      </c>
      <c r="N129" s="183">
        <f>N102*Inputs!$H48</f>
        <v>221.39857709999998</v>
      </c>
      <c r="O129" s="14">
        <f>O102*Inputs!$H48</f>
        <v>221.51022528658791</v>
      </c>
      <c r="P129" s="14">
        <f>P102*Inputs!$H48</f>
        <v>223.78916555627038</v>
      </c>
      <c r="Q129" s="14">
        <f>Q102*Inputs!$H48</f>
        <v>221.97707438516946</v>
      </c>
      <c r="R129" s="14">
        <f>R102*Inputs!$H48</f>
        <v>223.19621297609621</v>
      </c>
      <c r="S129" s="14">
        <f>S102*Inputs!$H48</f>
        <v>222.11033495672768</v>
      </c>
      <c r="T129" s="14">
        <f>T102*Inputs!$H48</f>
        <v>219.75422713076594</v>
      </c>
      <c r="U129" s="14">
        <f>U102*Inputs!$H48</f>
        <v>223.3103001678802</v>
      </c>
      <c r="V129" s="14">
        <f>V102*Inputs!$H48</f>
        <v>221.55042678488545</v>
      </c>
      <c r="W129" s="14">
        <f>W102*Inputs!$H48</f>
        <v>222.06287076591138</v>
      </c>
      <c r="X129" s="188">
        <f>X102*Inputs!$H48</f>
        <v>221.39860129867409</v>
      </c>
      <c r="Y129" s="159">
        <f>Y102*Inputs!$H48</f>
        <v>219.00636960153741</v>
      </c>
      <c r="Z129" s="159">
        <f>Z102*Inputs!$H48</f>
        <v>217.93301588453642</v>
      </c>
      <c r="AA129" s="159">
        <f>AA102*Inputs!$H48</f>
        <v>217.90899804014813</v>
      </c>
      <c r="AB129" s="159">
        <f>AB102*Inputs!$H48</f>
        <v>219.39375007907466</v>
      </c>
      <c r="AC129" s="159">
        <f>AC102*Inputs!$H48</f>
        <v>218.14881780249698</v>
      </c>
      <c r="AD129" s="159">
        <f>AD102*Inputs!$H48</f>
        <v>217.91429063107813</v>
      </c>
      <c r="AE129" s="159">
        <f>AE102*Inputs!$H48</f>
        <v>218.1274825495428</v>
      </c>
      <c r="AF129" s="159">
        <f>AF102*Inputs!$H48</f>
        <v>218.25315432350621</v>
      </c>
      <c r="AG129" s="159">
        <f>AG102*Inputs!$H48</f>
        <v>221.88930577470441</v>
      </c>
      <c r="AH129" s="188">
        <f>AH102*Inputs!$H48</f>
        <v>224.26662958634722</v>
      </c>
    </row>
    <row r="130" spans="1:35">
      <c r="A130" s="10" t="s">
        <v>59</v>
      </c>
      <c r="B130" s="35">
        <v>0</v>
      </c>
      <c r="C130" s="336">
        <f>C103*Inputs!$H53</f>
        <v>3554.7120000000004</v>
      </c>
      <c r="D130" s="336">
        <f>D103*Inputs!$H53</f>
        <v>3671.527096044405</v>
      </c>
      <c r="E130" s="336">
        <f>E103*Inputs!$H53</f>
        <v>3726.6775307990029</v>
      </c>
      <c r="F130" s="336">
        <f>F103*Inputs!$H53</f>
        <v>3831.4611435791444</v>
      </c>
      <c r="G130" s="336">
        <f>G103*Inputs!$H53</f>
        <v>3657.2802017142162</v>
      </c>
      <c r="H130" s="408">
        <f>H103*Inputs!$H53</f>
        <v>3408.7078346580001</v>
      </c>
      <c r="I130" s="14">
        <f>I103*Inputs!$H53</f>
        <v>3647.4842057247806</v>
      </c>
      <c r="J130" s="14">
        <f>J103*Inputs!$H53</f>
        <v>3768.3496797097223</v>
      </c>
      <c r="K130" s="14">
        <f>K103*Inputs!$H53</f>
        <v>3888.5550350834619</v>
      </c>
      <c r="L130" s="14">
        <f>L103*Inputs!$H53</f>
        <v>3867.7395561973199</v>
      </c>
      <c r="M130" s="14">
        <f>M103*Inputs!$H53</f>
        <v>3905.8212940074818</v>
      </c>
      <c r="N130" s="183">
        <f>N103*Inputs!$H53</f>
        <v>4030.1302390146006</v>
      </c>
      <c r="O130" s="14">
        <f>O103*Inputs!$H53</f>
        <v>4032.1625769762663</v>
      </c>
      <c r="P130" s="14">
        <f>P103*Inputs!$H53</f>
        <v>4073.6462496089357</v>
      </c>
      <c r="Q130" s="14">
        <f>Q103*Inputs!$H53</f>
        <v>4040.6606562949969</v>
      </c>
      <c r="R130" s="14">
        <f>R103*Inputs!$H53</f>
        <v>4062.8527018139898</v>
      </c>
      <c r="S130" s="14">
        <f>S103*Inputs!$H53</f>
        <v>4043.0864056658361</v>
      </c>
      <c r="T130" s="14">
        <f>T103*Inputs!$H53</f>
        <v>4000.1980478445544</v>
      </c>
      <c r="U130" s="14">
        <f>U103*Inputs!$H53</f>
        <v>4064.9294371187748</v>
      </c>
      <c r="V130" s="14">
        <f>V103*Inputs!$H53</f>
        <v>4032.8943670178464</v>
      </c>
      <c r="W130" s="14">
        <f>W103*Inputs!$H53</f>
        <v>4042.222412440653</v>
      </c>
      <c r="X130" s="188">
        <f>X103*Inputs!$H53</f>
        <v>4030.1306795043715</v>
      </c>
      <c r="Y130" s="159">
        <f>Y103*Inputs!$H53</f>
        <v>3986.5847569079242</v>
      </c>
      <c r="Z130" s="159">
        <f>Z103*Inputs!$H53</f>
        <v>3967.0464413112049</v>
      </c>
      <c r="AA130" s="159">
        <f>AA103*Inputs!$H53</f>
        <v>3966.6092431945181</v>
      </c>
      <c r="AB130" s="159">
        <f>AB103*Inputs!$H53</f>
        <v>3993.6362646320308</v>
      </c>
      <c r="AC130" s="159">
        <f>AC103*Inputs!$H53</f>
        <v>3970.9746952620753</v>
      </c>
      <c r="AD130" s="159">
        <f>AD103*Inputs!$H53</f>
        <v>3966.705584512647</v>
      </c>
      <c r="AE130" s="159">
        <f>AE103*Inputs!$H53</f>
        <v>3970.5863285019364</v>
      </c>
      <c r="AF130" s="159">
        <f>AF103*Inputs!$H53</f>
        <v>3972.8739385808922</v>
      </c>
      <c r="AG130" s="159">
        <f>AG103*Inputs!$H53</f>
        <v>4039.0629995453255</v>
      </c>
      <c r="AH130" s="188">
        <f>AH103*Inputs!$H53</f>
        <v>4082.3375530981421</v>
      </c>
    </row>
    <row r="131" spans="1:35">
      <c r="A131" s="10" t="s">
        <v>121</v>
      </c>
      <c r="B131" s="35">
        <v>1</v>
      </c>
      <c r="C131" s="335">
        <f>Inputs!$H46*'Output -Jobs vs Yr'!C104</f>
        <v>322.81200000000001</v>
      </c>
      <c r="D131" s="335">
        <f>Inputs!$H46*'Output -Jobs vs Yr'!D104</f>
        <v>406.29746975479446</v>
      </c>
      <c r="E131" s="335">
        <f>Inputs!$H46*'Output -Jobs vs Yr'!E104</f>
        <v>502.58530269862246</v>
      </c>
      <c r="F131" s="335">
        <f>Inputs!$H46*'Output -Jobs vs Yr'!F104</f>
        <v>629.77030325427916</v>
      </c>
      <c r="G131" s="335">
        <f>Inputs!$H46*'Output -Jobs vs Yr'!G104</f>
        <v>732.73294553975984</v>
      </c>
      <c r="H131" s="287">
        <f>Inputs!$H46*'Output -Jobs vs Yr'!H104</f>
        <v>389.83461544990428</v>
      </c>
      <c r="I131" s="40">
        <f>Inputs!$H46*'Output -Jobs vs Yr'!I104</f>
        <v>502.71943059532072</v>
      </c>
      <c r="J131" s="40">
        <f>Inputs!$H46*'Output -Jobs vs Yr'!J104</f>
        <v>631.48360503996116</v>
      </c>
      <c r="K131" s="40">
        <f>Inputs!$H46*'Output -Jobs vs Yr'!K104</f>
        <v>778.40848805941789</v>
      </c>
      <c r="L131" s="40">
        <f>Inputs!$H46*'Output -Jobs vs Yr'!L104</f>
        <v>933.08661078589284</v>
      </c>
      <c r="M131" s="40">
        <f>Inputs!$H46*'Output -Jobs vs Yr'!M104</f>
        <v>1135.5958119132667</v>
      </c>
      <c r="N131" s="178">
        <f>Inputs!$H46*'Output -Jobs vs Yr'!N104</f>
        <v>1412.1421740080345</v>
      </c>
      <c r="O131" s="40">
        <f>Inputs!$H46*'Output -Jobs vs Yr'!O104</f>
        <v>1514.6603312576542</v>
      </c>
      <c r="P131" s="40">
        <f>Inputs!$H46*'Output -Jobs vs Yr'!P104</f>
        <v>1640.96330073168</v>
      </c>
      <c r="Q131" s="40">
        <f>Inputs!$H46*'Output -Jobs vs Yr'!Q104</f>
        <v>1745.9461839803762</v>
      </c>
      <c r="R131" s="40">
        <f>Inputs!$H46*'Output -Jobs vs Yr'!R104</f>
        <v>1883.6550734608034</v>
      </c>
      <c r="S131" s="40">
        <f>Inputs!$H46*'Output -Jobs vs Yr'!S104</f>
        <v>2011.910340243976</v>
      </c>
      <c r="T131" s="40">
        <f>Inputs!$H46*'Output -Jobs vs Yr'!T104</f>
        <v>2137.1778593112849</v>
      </c>
      <c r="U131" s="40">
        <f>Inputs!$H46*'Output -Jobs vs Yr'!U104</f>
        <v>2332.4863049768351</v>
      </c>
      <c r="V131" s="40">
        <f>Inputs!$H46*'Output -Jobs vs Yr'!V104</f>
        <v>2486.2142820911249</v>
      </c>
      <c r="W131" s="40">
        <f>Inputs!$H46*'Output -Jobs vs Yr'!W104</f>
        <v>2678.2548192393824</v>
      </c>
      <c r="X131" s="185">
        <f>Inputs!$H46*'Output -Jobs vs Yr'!X104</f>
        <v>2870.9203722603042</v>
      </c>
      <c r="Y131" s="272">
        <f>Inputs!$H46*'Output -Jobs vs Yr'!Y104</f>
        <v>2868.7952601246739</v>
      </c>
      <c r="Z131" s="272">
        <f>Inputs!$H46*'Output -Jobs vs Yr'!Z104</f>
        <v>2884.0802151735829</v>
      </c>
      <c r="AA131" s="272">
        <f>Inputs!$H46*'Output -Jobs vs Yr'!AA104</f>
        <v>2913.7135965235439</v>
      </c>
      <c r="AB131" s="272">
        <f>Inputs!$H46*'Output -Jobs vs Yr'!AB104</f>
        <v>2964.3548481732646</v>
      </c>
      <c r="AC131" s="272">
        <f>Inputs!$H46*'Output -Jobs vs Yr'!AC104</f>
        <v>2978.7968281862031</v>
      </c>
      <c r="AD131" s="272">
        <f>Inputs!$H46*'Output -Jobs vs Yr'!AD104</f>
        <v>3007.4933203947094</v>
      </c>
      <c r="AE131" s="272">
        <f>Inputs!$H46*'Output -Jobs vs Yr'!AE104</f>
        <v>3043.0577930028967</v>
      </c>
      <c r="AF131" s="272">
        <f>Inputs!$H46*'Output -Jobs vs Yr'!AF104</f>
        <v>3078.1671342563168</v>
      </c>
      <c r="AG131" s="272">
        <f>Inputs!$H46*'Output -Jobs vs Yr'!AG104</f>
        <v>3164.1132396902767</v>
      </c>
      <c r="AH131" s="185">
        <f>Inputs!$H46*'Output -Jobs vs Yr'!AH104</f>
        <v>3233.8328408884649</v>
      </c>
    </row>
    <row r="132" spans="1:35">
      <c r="A132" s="10" t="s">
        <v>50</v>
      </c>
      <c r="B132" s="35">
        <v>1</v>
      </c>
      <c r="C132" s="336">
        <f>C105*Inputs!$H49</f>
        <v>0</v>
      </c>
      <c r="D132" s="336">
        <f>D105*Inputs!$H49</f>
        <v>0</v>
      </c>
      <c r="E132" s="336">
        <f>E105*Inputs!$H49</f>
        <v>0</v>
      </c>
      <c r="F132" s="336">
        <f>F105*Inputs!$H49</f>
        <v>0</v>
      </c>
      <c r="G132" s="336">
        <f>G105*Inputs!$H49</f>
        <v>0</v>
      </c>
      <c r="H132" s="408">
        <f>H105*Inputs!$H49</f>
        <v>0</v>
      </c>
      <c r="I132" s="14">
        <f>I105*Inputs!$H49</f>
        <v>0</v>
      </c>
      <c r="J132" s="14">
        <f>J105*Inputs!$H49</f>
        <v>0</v>
      </c>
      <c r="K132" s="14">
        <f>K105*Inputs!$H49</f>
        <v>0</v>
      </c>
      <c r="L132" s="14">
        <f>L105*Inputs!$H49</f>
        <v>0</v>
      </c>
      <c r="M132" s="14">
        <f>M105*Inputs!$H49</f>
        <v>0</v>
      </c>
      <c r="N132" s="183">
        <f>N105*Inputs!$H49</f>
        <v>0</v>
      </c>
      <c r="O132" s="14">
        <f>O105*Inputs!$H49</f>
        <v>0</v>
      </c>
      <c r="P132" s="14">
        <f>P105*Inputs!$H49</f>
        <v>0</v>
      </c>
      <c r="Q132" s="14">
        <f>Q105*Inputs!$H49</f>
        <v>0</v>
      </c>
      <c r="R132" s="14">
        <f>R105*Inputs!$H49</f>
        <v>0</v>
      </c>
      <c r="S132" s="14">
        <f>S105*Inputs!$H49</f>
        <v>0</v>
      </c>
      <c r="T132" s="14">
        <f>T105*Inputs!$H49</f>
        <v>0</v>
      </c>
      <c r="U132" s="14">
        <f>U105*Inputs!$H49</f>
        <v>0</v>
      </c>
      <c r="V132" s="14">
        <f>V105*Inputs!$H49</f>
        <v>0</v>
      </c>
      <c r="W132" s="14">
        <f>W105*Inputs!$H49</f>
        <v>0</v>
      </c>
      <c r="X132" s="188">
        <f>X105*Inputs!$H49</f>
        <v>0</v>
      </c>
      <c r="Y132" s="159">
        <f>Y105*Inputs!$H49</f>
        <v>0</v>
      </c>
      <c r="Z132" s="159">
        <f>Z105*Inputs!$H49</f>
        <v>0</v>
      </c>
      <c r="AA132" s="159">
        <f>AA105*Inputs!$H49</f>
        <v>0</v>
      </c>
      <c r="AB132" s="159">
        <f>AB105*Inputs!$H49</f>
        <v>0</v>
      </c>
      <c r="AC132" s="159">
        <f>AC105*Inputs!$H49</f>
        <v>0</v>
      </c>
      <c r="AD132" s="159">
        <f>AD105*Inputs!$H49</f>
        <v>0</v>
      </c>
      <c r="AE132" s="159">
        <f>AE105*Inputs!$H49</f>
        <v>0</v>
      </c>
      <c r="AF132" s="159">
        <f>AF105*Inputs!$H49</f>
        <v>0</v>
      </c>
      <c r="AG132" s="159">
        <f>AG105*Inputs!$H49</f>
        <v>0</v>
      </c>
      <c r="AH132" s="188">
        <f>AH105*Inputs!$H49</f>
        <v>0</v>
      </c>
    </row>
    <row r="133" spans="1:35">
      <c r="A133" s="10" t="s">
        <v>119</v>
      </c>
      <c r="B133" s="35">
        <v>1</v>
      </c>
      <c r="C133" s="336">
        <f>C106*Inputs!$H50</f>
        <v>0</v>
      </c>
      <c r="D133" s="336">
        <f>D106*Inputs!$H50</f>
        <v>0</v>
      </c>
      <c r="E133" s="336">
        <f>E106*Inputs!$H50</f>
        <v>0</v>
      </c>
      <c r="F133" s="336">
        <f>F106*Inputs!$H50</f>
        <v>0</v>
      </c>
      <c r="G133" s="336">
        <f>G106*Inputs!$H50</f>
        <v>0</v>
      </c>
      <c r="H133" s="408">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51</v>
      </c>
      <c r="B134" s="35">
        <v>1</v>
      </c>
      <c r="C134" s="336">
        <f>C107*Inputs!$H52</f>
        <v>93.825000000000003</v>
      </c>
      <c r="D134" s="336">
        <f>D107*Inputs!$H52</f>
        <v>108.27</v>
      </c>
      <c r="E134" s="336">
        <f>E107*Inputs!$H52</f>
        <v>133.02379607787873</v>
      </c>
      <c r="F134" s="336">
        <f>F107*Inputs!$H52</f>
        <v>157.19864427545778</v>
      </c>
      <c r="G134" s="336">
        <f>G107*Inputs!$H52</f>
        <v>129.21005938142082</v>
      </c>
      <c r="H134" s="408">
        <f>H107*Inputs!$H52</f>
        <v>122.21403740365874</v>
      </c>
      <c r="I134" s="14">
        <f>I107*Inputs!$H52</f>
        <v>139.09508662441991</v>
      </c>
      <c r="J134" s="14">
        <f>J107*Inputs!$H52</f>
        <v>152.84734175864136</v>
      </c>
      <c r="K134" s="14">
        <f>K107*Inputs!$H52</f>
        <v>167.75849955810003</v>
      </c>
      <c r="L134" s="14">
        <f>L107*Inputs!$H52</f>
        <v>177.47792965750688</v>
      </c>
      <c r="M134" s="14">
        <f>M107*Inputs!$H52</f>
        <v>190.63015657061041</v>
      </c>
      <c r="N134" s="183">
        <f>N107*Inputs!$H52</f>
        <v>209.21444761207019</v>
      </c>
      <c r="O134" s="14">
        <f>O107*Inputs!$H52</f>
        <v>224.40291803237557</v>
      </c>
      <c r="P134" s="14">
        <f>P107*Inputs!$H52</f>
        <v>243.11520244441388</v>
      </c>
      <c r="Q134" s="14">
        <f>Q107*Inputs!$H52</f>
        <v>258.66883176861927</v>
      </c>
      <c r="R134" s="14">
        <f>R107*Inputs!$H52</f>
        <v>279.07094833606567</v>
      </c>
      <c r="S134" s="14">
        <f>S107*Inputs!$H52</f>
        <v>298.07247331511326</v>
      </c>
      <c r="T134" s="14">
        <f>T107*Inputs!$H52</f>
        <v>316.63135165454912</v>
      </c>
      <c r="U134" s="14">
        <f>U107*Inputs!$H52</f>
        <v>345.56707025709943</v>
      </c>
      <c r="V134" s="14">
        <f>V107*Inputs!$H52</f>
        <v>368.34247800744129</v>
      </c>
      <c r="W134" s="14">
        <f>W107*Inputs!$H52</f>
        <v>396.79404303970938</v>
      </c>
      <c r="X134" s="188">
        <f>X107*Inputs!$H52</f>
        <v>425.33820664523336</v>
      </c>
      <c r="Y134" s="159">
        <f>Y107*Inputs!$H52</f>
        <v>425.0233628782579</v>
      </c>
      <c r="Z134" s="159">
        <f>Z107*Inputs!$H52</f>
        <v>427.28788941545247</v>
      </c>
      <c r="AA134" s="159">
        <f>AA107*Inputs!$H52</f>
        <v>431.67819205220007</v>
      </c>
      <c r="AB134" s="159">
        <f>AB107*Inputs!$H52</f>
        <v>439.18089375270154</v>
      </c>
      <c r="AC134" s="159">
        <f>AC107*Inputs!$H52</f>
        <v>441.32053020464321</v>
      </c>
      <c r="AD134" s="159">
        <f>AD107*Inputs!$H52</f>
        <v>445.57202901001239</v>
      </c>
      <c r="AE134" s="159">
        <f>AE107*Inputs!$H52</f>
        <v>450.84104627207614</v>
      </c>
      <c r="AF134" s="159">
        <f>AF107*Inputs!$H52</f>
        <v>456.04263402404433</v>
      </c>
      <c r="AG134" s="159">
        <f>AG107*Inputs!$H52</f>
        <v>468.77588943113926</v>
      </c>
      <c r="AH134" s="188">
        <f>AH107*Inputs!$H52</f>
        <v>479.10512406550532</v>
      </c>
    </row>
    <row r="135" spans="1:35">
      <c r="A135" s="9" t="s">
        <v>347</v>
      </c>
      <c r="B135" s="35">
        <v>1</v>
      </c>
      <c r="C135" s="336">
        <f>C108*Inputs!$H54</f>
        <v>0</v>
      </c>
      <c r="D135" s="336">
        <f>D108*Inputs!$H54</f>
        <v>0</v>
      </c>
      <c r="E135" s="336">
        <f>E108*Inputs!$H54</f>
        <v>0.14220000000000002</v>
      </c>
      <c r="F135" s="336">
        <f>F108*Inputs!$H54</f>
        <v>0.14220000000000002</v>
      </c>
      <c r="G135" s="336">
        <f>G108*Inputs!$H54</f>
        <v>0.14220000000000002</v>
      </c>
      <c r="H135" s="408">
        <f>H108*Inputs!$H54</f>
        <v>0.14220000000000002</v>
      </c>
      <c r="I135" s="14">
        <f>I108*Inputs!$H54</f>
        <v>0.16153845138712045</v>
      </c>
      <c r="J135" s="14">
        <f>J108*Inputs!$H54</f>
        <v>0.17717711953721754</v>
      </c>
      <c r="K135" s="14">
        <f>K108*Inputs!$H54</f>
        <v>0.19409748173040678</v>
      </c>
      <c r="L135" s="14">
        <f>L108*Inputs!$H54</f>
        <v>0.20495822082561083</v>
      </c>
      <c r="M135" s="14">
        <f>M108*Inputs!$H54</f>
        <v>0.21973448189993261</v>
      </c>
      <c r="N135" s="183">
        <f>N108*Inputs!$H54</f>
        <v>0.24070432981478429</v>
      </c>
      <c r="O135" s="14">
        <f>O108*Inputs!$H54</f>
        <v>0.25817889065491384</v>
      </c>
      <c r="P135" s="14">
        <f>P108*Inputs!$H54</f>
        <v>0.27970765183805624</v>
      </c>
      <c r="Q135" s="14">
        <f>Q108*Inputs!$H54</f>
        <v>0.29760233342148251</v>
      </c>
      <c r="R135" s="14">
        <f>R108*Inputs!$H54</f>
        <v>0.32107527160152716</v>
      </c>
      <c r="S135" s="14">
        <f>S108*Inputs!$H54</f>
        <v>0.34293680835362211</v>
      </c>
      <c r="T135" s="14">
        <f>T108*Inputs!$H54</f>
        <v>0.36428907357141999</v>
      </c>
      <c r="U135" s="14">
        <f>U108*Inputs!$H54</f>
        <v>0.39758004765773458</v>
      </c>
      <c r="V135" s="14">
        <f>V108*Inputs!$H54</f>
        <v>0.42378349259844716</v>
      </c>
      <c r="W135" s="14">
        <f>W108*Inputs!$H54</f>
        <v>0.4565174408101515</v>
      </c>
      <c r="X135" s="188">
        <f>X108*Inputs!$H54</f>
        <v>0.4893579250559198</v>
      </c>
      <c r="Y135" s="159">
        <f>Y108*Inputs!$H54</f>
        <v>0.48899569262507575</v>
      </c>
      <c r="Z135" s="159">
        <f>Z108*Inputs!$H54</f>
        <v>0.49160106404518872</v>
      </c>
      <c r="AA135" s="159">
        <f>AA108*Inputs!$H54</f>
        <v>0.49665217244579923</v>
      </c>
      <c r="AB135" s="159">
        <f>AB108*Inputs!$H54</f>
        <v>0.50528414220329931</v>
      </c>
      <c r="AC135" s="159">
        <f>AC108*Inputs!$H54</f>
        <v>0.50774582572511251</v>
      </c>
      <c r="AD135" s="159">
        <f>AD108*Inputs!$H54</f>
        <v>0.51263723825582008</v>
      </c>
      <c r="AE135" s="159">
        <f>AE108*Inputs!$H54</f>
        <v>0.5186993208859797</v>
      </c>
      <c r="AF135" s="159">
        <f>AF108*Inputs!$H54</f>
        <v>0.52468382486312315</v>
      </c>
      <c r="AG135" s="159">
        <f>AG108*Inputs!$H54</f>
        <v>0.53933362435884613</v>
      </c>
      <c r="AH135" s="188">
        <f>AH108*Inputs!$H54</f>
        <v>0.55121756224431617</v>
      </c>
    </row>
    <row r="136" spans="1:35">
      <c r="A136" s="9" t="s">
        <v>348</v>
      </c>
      <c r="B136" s="35">
        <v>1</v>
      </c>
      <c r="C136" s="336">
        <f>C109*Inputs!$H55</f>
        <v>0</v>
      </c>
      <c r="D136" s="336">
        <f>D109*Inputs!$H55</f>
        <v>0</v>
      </c>
      <c r="E136" s="336">
        <f>E109*Inputs!$H55</f>
        <v>2.0700000000000003E-2</v>
      </c>
      <c r="F136" s="336">
        <f>F109*Inputs!$H55</f>
        <v>2.0700000000000003E-2</v>
      </c>
      <c r="G136" s="336">
        <f>G109*Inputs!$H55</f>
        <v>2.0700000000000003E-2</v>
      </c>
      <c r="H136" s="408">
        <f>H109*Inputs!$H55</f>
        <v>2.0700000000000003E-2</v>
      </c>
      <c r="I136" s="14">
        <f>I109*Inputs!$H55</f>
        <v>2.3515091024707405E-2</v>
      </c>
      <c r="J136" s="14">
        <f>J109*Inputs!$H55</f>
        <v>2.57916060085823E-2</v>
      </c>
      <c r="K136" s="14">
        <f>K109*Inputs!$H55</f>
        <v>2.825469670759086E-2</v>
      </c>
      <c r="L136" s="14">
        <f>L109*Inputs!$H55</f>
        <v>2.9835690373348413E-2</v>
      </c>
      <c r="M136" s="14">
        <f>M109*Inputs!$H55</f>
        <v>3.1986665086699055E-2</v>
      </c>
      <c r="N136" s="188">
        <f>N109*Inputs!$H55</f>
        <v>3.5039237884430627E-2</v>
      </c>
      <c r="O136" s="14">
        <f>O109*Inputs!$H55</f>
        <v>3.7583003070019098E-2</v>
      </c>
      <c r="P136" s="14">
        <f>P109*Inputs!$H55</f>
        <v>4.0716936659970213E-2</v>
      </c>
      <c r="Q136" s="14">
        <f>Q109*Inputs!$H55</f>
        <v>4.3321858662620873E-2</v>
      </c>
      <c r="R136" s="14">
        <f>R109*Inputs!$H55</f>
        <v>4.6738805359715981E-2</v>
      </c>
      <c r="S136" s="14">
        <f>S109*Inputs!$H55</f>
        <v>4.9921180962869044E-2</v>
      </c>
      <c r="T136" s="14">
        <f>T109*Inputs!$H55</f>
        <v>5.3029422102168731E-2</v>
      </c>
      <c r="U136" s="14">
        <f>U109*Inputs!$H55</f>
        <v>5.7875576557771494E-2</v>
      </c>
      <c r="V136" s="14">
        <f>V109*Inputs!$H55</f>
        <v>6.1690002087115725E-2</v>
      </c>
      <c r="W136" s="14">
        <f>W109*Inputs!$H55</f>
        <v>6.6455070497680277E-2</v>
      </c>
      <c r="X136" s="188">
        <f>X109*Inputs!$H55</f>
        <v>7.1235647318266801E-2</v>
      </c>
      <c r="Y136" s="159">
        <f>Y109*Inputs!$H55</f>
        <v>7.1182917280865468E-2</v>
      </c>
      <c r="Z136" s="159">
        <f>Z109*Inputs!$H55</f>
        <v>7.156218020910976E-2</v>
      </c>
      <c r="AA136" s="159">
        <f>AA109*Inputs!$H55</f>
        <v>7.2297468140844187E-2</v>
      </c>
      <c r="AB136" s="159">
        <f>AB109*Inputs!$H55</f>
        <v>7.3554020700480269E-2</v>
      </c>
      <c r="AC136" s="159">
        <f>AC109*Inputs!$H55</f>
        <v>7.3912367035934096E-2</v>
      </c>
      <c r="AD136" s="159">
        <f>AD109*Inputs!$H55</f>
        <v>7.4624408100530767E-2</v>
      </c>
      <c r="AE136" s="159">
        <f>AE109*Inputs!$H55</f>
        <v>7.5506863166946422E-2</v>
      </c>
      <c r="AF136" s="159">
        <f>AF109*Inputs!$H55</f>
        <v>7.6378025138302733E-2</v>
      </c>
      <c r="AG136" s="159">
        <f>AG109*Inputs!$H55</f>
        <v>7.8510590887680129E-2</v>
      </c>
      <c r="AH136" s="188">
        <f>AH109*Inputs!$H55</f>
        <v>8.02405312127802E-2</v>
      </c>
    </row>
    <row r="137" spans="1:35">
      <c r="A137" s="9" t="s">
        <v>344</v>
      </c>
      <c r="B137" s="35">
        <v>1</v>
      </c>
      <c r="C137" s="336">
        <f>C110*Inputs!$H56</f>
        <v>2.16E-3</v>
      </c>
      <c r="D137" s="336">
        <f>D110*Inputs!$H56</f>
        <v>2.3948551205504693E-3</v>
      </c>
      <c r="E137" s="336">
        <f>E110*Inputs!$H56</f>
        <v>2.609612109187226E-3</v>
      </c>
      <c r="F137" s="336">
        <f>F110*Inputs!$H56</f>
        <v>2.8805764078286972E-3</v>
      </c>
      <c r="G137" s="336">
        <f>G110*Inputs!$H56</f>
        <v>2.9523917820066317E-3</v>
      </c>
      <c r="H137" s="408">
        <f>H110*Inputs!$H56</f>
        <v>2.16E-3</v>
      </c>
      <c r="I137" s="14">
        <f>I110*Inputs!$H56</f>
        <v>2.4537486286651203E-3</v>
      </c>
      <c r="J137" s="14">
        <f>J110*Inputs!$H56</f>
        <v>2.6912980182868486E-3</v>
      </c>
      <c r="K137" s="14">
        <f>K110*Inputs!$H56</f>
        <v>2.9483161781833946E-3</v>
      </c>
      <c r="L137" s="14">
        <f>L110*Inputs!$H56</f>
        <v>3.1132894302624433E-3</v>
      </c>
      <c r="M137" s="14">
        <f>M110*Inputs!$H56</f>
        <v>3.3377389655685967E-3</v>
      </c>
      <c r="N137" s="188">
        <f>N110*Inputs!$H56</f>
        <v>3.6562683009840665E-3</v>
      </c>
      <c r="O137" s="14">
        <f>O110*Inputs!$H56</f>
        <v>3.9217046681759059E-3</v>
      </c>
      <c r="P137" s="14">
        <f>P110*Inputs!$H56</f>
        <v>4.2487238253881964E-3</v>
      </c>
      <c r="Q137" s="14">
        <f>Q110*Inputs!$H56</f>
        <v>4.5205417734908741E-3</v>
      </c>
      <c r="R137" s="14">
        <f>R110*Inputs!$H56</f>
        <v>4.8770927331877548E-3</v>
      </c>
      <c r="S137" s="14">
        <f>S110*Inputs!$H56</f>
        <v>5.2091667091689452E-3</v>
      </c>
      <c r="T137" s="14">
        <f>T110*Inputs!$H56</f>
        <v>5.533504915008914E-3</v>
      </c>
      <c r="U137" s="14">
        <f>U110*Inputs!$H56</f>
        <v>6.0391905973326797E-3</v>
      </c>
      <c r="V137" s="14">
        <f>V110*Inputs!$H56</f>
        <v>6.4372176090903392E-3</v>
      </c>
      <c r="W137" s="14">
        <f>W110*Inputs!$H56</f>
        <v>6.934442138888379E-3</v>
      </c>
      <c r="X137" s="188">
        <f>X110*Inputs!$H56</f>
        <v>7.4332849375582767E-3</v>
      </c>
      <c r="Y137" s="159">
        <f>Y110*Inputs!$H56</f>
        <v>7.4277826727859641E-3</v>
      </c>
      <c r="Z137" s="159">
        <f>Z110*Inputs!$H56</f>
        <v>7.4673579348636309E-3</v>
      </c>
      <c r="AA137" s="159">
        <f>AA110*Inputs!$H56</f>
        <v>7.5440836320880937E-3</v>
      </c>
      <c r="AB137" s="159">
        <f>AB110*Inputs!$H56</f>
        <v>7.675202160050118E-3</v>
      </c>
      <c r="AC137" s="159">
        <f>AC110*Inputs!$H56</f>
        <v>7.7125948211409518E-3</v>
      </c>
      <c r="AD137" s="159">
        <f>AD110*Inputs!$H56</f>
        <v>7.7868947583162587E-3</v>
      </c>
      <c r="AE137" s="159">
        <f>AE110*Inputs!$H56</f>
        <v>7.8789770261161515E-3</v>
      </c>
      <c r="AF137" s="159">
        <f>AF110*Inputs!$H56</f>
        <v>7.9698808839968101E-3</v>
      </c>
      <c r="AG137" s="159">
        <f>AG110*Inputs!$H56</f>
        <v>8.1924094839318454E-3</v>
      </c>
      <c r="AH137" s="188">
        <f>AH110*Inputs!$H56</f>
        <v>8.3729249961161968E-3</v>
      </c>
    </row>
    <row r="138" spans="1:35">
      <c r="A138" s="10" t="s">
        <v>120</v>
      </c>
      <c r="B138" s="35">
        <v>1</v>
      </c>
      <c r="C138" s="336">
        <f>C111*Inputs!$H56</f>
        <v>0</v>
      </c>
      <c r="D138" s="336">
        <f>D111*Inputs!$H56</f>
        <v>0</v>
      </c>
      <c r="E138" s="336">
        <f>E111*Inputs!$H56</f>
        <v>0</v>
      </c>
      <c r="F138" s="336">
        <f>F111*Inputs!$H56</f>
        <v>0</v>
      </c>
      <c r="G138" s="336">
        <f>G111*Inputs!$H56</f>
        <v>0</v>
      </c>
      <c r="H138" s="408">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53</v>
      </c>
      <c r="B139" s="35">
        <v>1</v>
      </c>
      <c r="C139" s="336">
        <f>C112*Inputs!$H57</f>
        <v>0</v>
      </c>
      <c r="D139" s="336">
        <f>D112*Inputs!$H57</f>
        <v>0</v>
      </c>
      <c r="E139" s="336">
        <f>E112*Inputs!$H57</f>
        <v>0</v>
      </c>
      <c r="F139" s="336">
        <f>F112*Inputs!$H57</f>
        <v>0</v>
      </c>
      <c r="G139" s="336">
        <f>G112*Inputs!$H57</f>
        <v>0</v>
      </c>
      <c r="H139" s="408">
        <f>H112*Inputs!$H57</f>
        <v>0</v>
      </c>
      <c r="I139" s="14">
        <f>I112*Inputs!$H57</f>
        <v>0</v>
      </c>
      <c r="J139" s="14">
        <f>J112*Inputs!$H57</f>
        <v>0</v>
      </c>
      <c r="K139" s="14">
        <f>K112*Inputs!$H57</f>
        <v>0</v>
      </c>
      <c r="L139" s="14">
        <f>L112*Inputs!$H57</f>
        <v>0</v>
      </c>
      <c r="M139" s="14">
        <f>M112*Inputs!$H57</f>
        <v>0</v>
      </c>
      <c r="N139" s="183">
        <f>N112*Inputs!$H57</f>
        <v>0</v>
      </c>
      <c r="O139" s="14">
        <f>O112*Inputs!$H57</f>
        <v>0</v>
      </c>
      <c r="P139" s="14">
        <f>P112*Inputs!$H57</f>
        <v>0</v>
      </c>
      <c r="Q139" s="14">
        <f>Q112*Inputs!$H57</f>
        <v>0</v>
      </c>
      <c r="R139" s="14">
        <f>R112*Inputs!$H57</f>
        <v>0</v>
      </c>
      <c r="S139" s="14">
        <f>S112*Inputs!$H57</f>
        <v>0</v>
      </c>
      <c r="T139" s="14">
        <f>T112*Inputs!$H57</f>
        <v>0</v>
      </c>
      <c r="U139" s="14">
        <f>U112*Inputs!$H57</f>
        <v>0</v>
      </c>
      <c r="V139" s="14">
        <f>V112*Inputs!$H57</f>
        <v>0</v>
      </c>
      <c r="W139" s="14">
        <f>W112*Inputs!$H57</f>
        <v>0</v>
      </c>
      <c r="X139" s="188">
        <f>X112*Inputs!$H57</f>
        <v>0</v>
      </c>
      <c r="Y139" s="159">
        <f>Y112*Inputs!$H57</f>
        <v>0</v>
      </c>
      <c r="Z139" s="159">
        <f>Z112*Inputs!$H57</f>
        <v>0</v>
      </c>
      <c r="AA139" s="159">
        <f>AA112*Inputs!$H57</f>
        <v>0</v>
      </c>
      <c r="AB139" s="159">
        <f>AB112*Inputs!$H57</f>
        <v>0</v>
      </c>
      <c r="AC139" s="159">
        <f>AC112*Inputs!$H57</f>
        <v>0</v>
      </c>
      <c r="AD139" s="159">
        <f>AD112*Inputs!$H57</f>
        <v>0</v>
      </c>
      <c r="AE139" s="159">
        <f>AE112*Inputs!$H57</f>
        <v>0</v>
      </c>
      <c r="AF139" s="159">
        <f>AF112*Inputs!$H57</f>
        <v>0</v>
      </c>
      <c r="AG139" s="159">
        <f>AG112*Inputs!$H57</f>
        <v>0</v>
      </c>
      <c r="AH139" s="188">
        <f>AH112*Inputs!$H57</f>
        <v>0</v>
      </c>
      <c r="AI139" s="31">
        <f>SUM(C139:X139)</f>
        <v>0</v>
      </c>
    </row>
    <row r="140" spans="1:35">
      <c r="A140" s="10" t="s">
        <v>384</v>
      </c>
      <c r="C140" s="336">
        <f t="shared" ref="C140:AH140" si="88">SUM(C127:C139)</f>
        <v>4171.0148100000006</v>
      </c>
      <c r="D140" s="336">
        <f t="shared" si="88"/>
        <v>4391.949181418011</v>
      </c>
      <c r="E140" s="336">
        <f t="shared" si="88"/>
        <v>4571.0109168712679</v>
      </c>
      <c r="F140" s="336">
        <f t="shared" si="88"/>
        <v>4832.6147130478394</v>
      </c>
      <c r="G140" s="336">
        <f t="shared" si="88"/>
        <v>4723.285331795455</v>
      </c>
      <c r="H140" s="408">
        <f t="shared" si="88"/>
        <v>4129.5982187115633</v>
      </c>
      <c r="I140" s="14">
        <f t="shared" si="88"/>
        <v>4508.9284033870354</v>
      </c>
      <c r="J140" s="14">
        <f t="shared" si="88"/>
        <v>4775.6338982156749</v>
      </c>
      <c r="K140" s="14">
        <f t="shared" si="88"/>
        <v>5060.7215698105074</v>
      </c>
      <c r="L140" s="14">
        <f t="shared" si="88"/>
        <v>5199.0645884043197</v>
      </c>
      <c r="M140" s="14">
        <f t="shared" si="88"/>
        <v>5450.9271314925245</v>
      </c>
      <c r="N140" s="183">
        <f t="shared" si="88"/>
        <v>5873.1648375707045</v>
      </c>
      <c r="O140" s="14">
        <f t="shared" si="88"/>
        <v>5993.0357351512766</v>
      </c>
      <c r="P140" s="14">
        <f t="shared" si="88"/>
        <v>6181.8385916536226</v>
      </c>
      <c r="Q140" s="14">
        <f t="shared" si="88"/>
        <v>6267.5981911630188</v>
      </c>
      <c r="R140" s="14">
        <f t="shared" si="88"/>
        <v>6449.1476277566499</v>
      </c>
      <c r="S140" s="14">
        <f t="shared" si="88"/>
        <v>6575.5776213376794</v>
      </c>
      <c r="T140" s="14">
        <f t="shared" si="88"/>
        <v>6674.1843379417433</v>
      </c>
      <c r="U140" s="14">
        <f t="shared" si="88"/>
        <v>6966.7546073354024</v>
      </c>
      <c r="V140" s="14">
        <f t="shared" si="88"/>
        <v>7109.4934646135926</v>
      </c>
      <c r="W140" s="14">
        <f t="shared" si="88"/>
        <v>7339.864052439103</v>
      </c>
      <c r="X140" s="188">
        <f t="shared" si="88"/>
        <v>7548.3558865658943</v>
      </c>
      <c r="Y140" s="159">
        <f t="shared" si="88"/>
        <v>7499.9773559049727</v>
      </c>
      <c r="Z140" s="159">
        <f t="shared" si="88"/>
        <v>7496.9181923869655</v>
      </c>
      <c r="AA140" s="159">
        <f t="shared" si="88"/>
        <v>7530.4865235346278</v>
      </c>
      <c r="AB140" s="159">
        <f t="shared" si="88"/>
        <v>7617.1522700021351</v>
      </c>
      <c r="AC140" s="159">
        <f t="shared" si="88"/>
        <v>7609.8302422430006</v>
      </c>
      <c r="AD140" s="159">
        <f t="shared" si="88"/>
        <v>7638.280273089561</v>
      </c>
      <c r="AE140" s="159">
        <f t="shared" si="88"/>
        <v>7683.2147354875306</v>
      </c>
      <c r="AF140" s="159">
        <f t="shared" si="88"/>
        <v>7725.9458929156453</v>
      </c>
      <c r="AG140" s="159">
        <f t="shared" si="88"/>
        <v>7894.4674710661766</v>
      </c>
      <c r="AH140" s="188">
        <f t="shared" si="88"/>
        <v>8020.1819786569131</v>
      </c>
      <c r="AI140" s="48" t="s">
        <v>0</v>
      </c>
    </row>
    <row r="141" spans="1:35">
      <c r="A141" s="10" t="s">
        <v>387</v>
      </c>
      <c r="C141" s="336">
        <f>SUM(C128:C130)</f>
        <v>3754.3756500000004</v>
      </c>
      <c r="D141" s="336">
        <f t="shared" ref="D141:AH141" si="89">SUM(D128:D130)</f>
        <v>3877.3793168080956</v>
      </c>
      <c r="E141" s="336">
        <f t="shared" si="89"/>
        <v>3935.2363084826575</v>
      </c>
      <c r="F141" s="336">
        <f t="shared" si="89"/>
        <v>4045.4799849416945</v>
      </c>
      <c r="G141" s="336">
        <f t="shared" si="89"/>
        <v>3861.1764744824918</v>
      </c>
      <c r="H141" s="408">
        <f t="shared" si="89"/>
        <v>3617.384505858</v>
      </c>
      <c r="I141" s="14">
        <f t="shared" si="89"/>
        <v>3866.9263788762537</v>
      </c>
      <c r="J141" s="14">
        <f t="shared" si="89"/>
        <v>3991.0972913935093</v>
      </c>
      <c r="K141" s="14">
        <f t="shared" si="89"/>
        <v>4114.3292816983731</v>
      </c>
      <c r="L141" s="14">
        <f t="shared" si="89"/>
        <v>4088.2621407602905</v>
      </c>
      <c r="M141" s="14">
        <f t="shared" si="89"/>
        <v>4124.446104122695</v>
      </c>
      <c r="N141" s="188">
        <f t="shared" si="89"/>
        <v>4251.5288161146009</v>
      </c>
      <c r="O141" s="14">
        <f t="shared" si="89"/>
        <v>4253.672802262854</v>
      </c>
      <c r="P141" s="14">
        <f t="shared" si="89"/>
        <v>4297.435415165206</v>
      </c>
      <c r="Q141" s="14">
        <f t="shared" si="89"/>
        <v>4262.637730680166</v>
      </c>
      <c r="R141" s="14">
        <f t="shared" si="89"/>
        <v>4286.0489147900862</v>
      </c>
      <c r="S141" s="14">
        <f t="shared" si="89"/>
        <v>4265.196740622564</v>
      </c>
      <c r="T141" s="14">
        <f t="shared" si="89"/>
        <v>4219.9522749753205</v>
      </c>
      <c r="U141" s="14">
        <f t="shared" si="89"/>
        <v>4288.2397372866553</v>
      </c>
      <c r="V141" s="14">
        <f t="shared" si="89"/>
        <v>4254.4447938027315</v>
      </c>
      <c r="W141" s="14">
        <f t="shared" si="89"/>
        <v>4264.2852832065646</v>
      </c>
      <c r="X141" s="188">
        <f t="shared" si="89"/>
        <v>4251.5292808030454</v>
      </c>
      <c r="Y141" s="159">
        <f t="shared" si="89"/>
        <v>4205.5911265094619</v>
      </c>
      <c r="Z141" s="159">
        <f t="shared" si="89"/>
        <v>4184.9794571957409</v>
      </c>
      <c r="AA141" s="159">
        <f t="shared" si="89"/>
        <v>4184.5182412346658</v>
      </c>
      <c r="AB141" s="159">
        <f t="shared" si="89"/>
        <v>4213.0300147111057</v>
      </c>
      <c r="AC141" s="159">
        <f t="shared" si="89"/>
        <v>4189.1235130645728</v>
      </c>
      <c r="AD141" s="159">
        <f t="shared" si="89"/>
        <v>4184.619875143725</v>
      </c>
      <c r="AE141" s="159">
        <f t="shared" si="89"/>
        <v>4188.7138110514788</v>
      </c>
      <c r="AF141" s="159">
        <f t="shared" si="89"/>
        <v>4191.1270929043985</v>
      </c>
      <c r="AG141" s="159">
        <f t="shared" si="89"/>
        <v>4260.9523053200301</v>
      </c>
      <c r="AH141" s="188">
        <f t="shared" si="89"/>
        <v>4306.6041826844894</v>
      </c>
      <c r="AI141" s="48"/>
    </row>
    <row r="142" spans="1:35">
      <c r="A142" s="10" t="s">
        <v>386</v>
      </c>
      <c r="C142" s="335">
        <f t="shared" ref="C142:AH142" si="90">SUMPRODUCT($B131:$B139,C131:C139)</f>
        <v>416.63916</v>
      </c>
      <c r="D142" s="335">
        <f t="shared" si="90"/>
        <v>514.56986460991504</v>
      </c>
      <c r="E142" s="335">
        <f t="shared" si="90"/>
        <v>635.77460838861043</v>
      </c>
      <c r="F142" s="335">
        <f t="shared" si="90"/>
        <v>787.13472810614485</v>
      </c>
      <c r="G142" s="335">
        <f t="shared" si="90"/>
        <v>862.10885731296275</v>
      </c>
      <c r="H142" s="287">
        <f t="shared" si="90"/>
        <v>512.21371285356304</v>
      </c>
      <c r="I142" s="40">
        <f t="shared" si="90"/>
        <v>642.00202451078121</v>
      </c>
      <c r="J142" s="40">
        <f t="shared" si="90"/>
        <v>784.53660682216662</v>
      </c>
      <c r="K142" s="40">
        <f t="shared" si="90"/>
        <v>946.392288112134</v>
      </c>
      <c r="L142" s="40">
        <f t="shared" si="90"/>
        <v>1110.8024476440289</v>
      </c>
      <c r="M142" s="40">
        <f t="shared" si="90"/>
        <v>1326.481027369829</v>
      </c>
      <c r="N142" s="178">
        <f t="shared" si="90"/>
        <v>1621.636021456105</v>
      </c>
      <c r="O142" s="40">
        <f t="shared" si="90"/>
        <v>1739.3629328884228</v>
      </c>
      <c r="P142" s="40">
        <f t="shared" si="90"/>
        <v>1884.4031764884171</v>
      </c>
      <c r="Q142" s="40">
        <f t="shared" si="90"/>
        <v>2004.9604604828533</v>
      </c>
      <c r="R142" s="40">
        <f t="shared" si="90"/>
        <v>2163.0987129665637</v>
      </c>
      <c r="S142" s="40">
        <f t="shared" si="90"/>
        <v>2310.3808807151149</v>
      </c>
      <c r="T142" s="40">
        <f t="shared" si="90"/>
        <v>2454.2320629664227</v>
      </c>
      <c r="U142" s="40">
        <f t="shared" si="90"/>
        <v>2678.5148700487471</v>
      </c>
      <c r="V142" s="40">
        <f t="shared" si="90"/>
        <v>2855.0486708108606</v>
      </c>
      <c r="W142" s="40">
        <f t="shared" si="90"/>
        <v>3075.5787692325389</v>
      </c>
      <c r="X142" s="185">
        <f t="shared" si="90"/>
        <v>3296.8266057628493</v>
      </c>
      <c r="Y142" s="272">
        <f t="shared" si="90"/>
        <v>3294.3862293955108</v>
      </c>
      <c r="Z142" s="272">
        <f t="shared" si="90"/>
        <v>3311.9387351912242</v>
      </c>
      <c r="AA142" s="272">
        <f t="shared" si="90"/>
        <v>3345.9682822999625</v>
      </c>
      <c r="AB142" s="272">
        <f t="shared" si="90"/>
        <v>3404.1222552910303</v>
      </c>
      <c r="AC142" s="272">
        <f t="shared" si="90"/>
        <v>3420.7067291784283</v>
      </c>
      <c r="AD142" s="272">
        <f t="shared" si="90"/>
        <v>3453.6603979458364</v>
      </c>
      <c r="AE142" s="272">
        <f t="shared" si="90"/>
        <v>3494.5009244360517</v>
      </c>
      <c r="AF142" s="272">
        <f t="shared" si="90"/>
        <v>3534.8188000112464</v>
      </c>
      <c r="AG142" s="272">
        <f t="shared" si="90"/>
        <v>3633.5151657461461</v>
      </c>
      <c r="AH142" s="185">
        <f t="shared" si="90"/>
        <v>3713.5777959724232</v>
      </c>
    </row>
    <row r="143" spans="1:35">
      <c r="A143" s="10" t="s">
        <v>142</v>
      </c>
      <c r="C143" s="336">
        <f>C116*Inputs!$H$60</f>
        <v>2620.5102000000011</v>
      </c>
      <c r="D143" s="336">
        <f>D116*Inputs!$H$60</f>
        <v>2323.1375475781506</v>
      </c>
      <c r="E143" s="336">
        <f>E116*Inputs!$H$60</f>
        <v>2278.2338584150802</v>
      </c>
      <c r="F143" s="336">
        <f>F116*Inputs!$H$60</f>
        <v>1799.8412382112724</v>
      </c>
      <c r="G143" s="336">
        <f>G116*Inputs!$H$60</f>
        <v>1898.0385244979086</v>
      </c>
      <c r="H143" s="408">
        <f>H116*Inputs!$H$60</f>
        <v>2374.1621218100408</v>
      </c>
      <c r="I143" s="14">
        <f>I116*Inputs!$H$60</f>
        <v>2152.3099746321295</v>
      </c>
      <c r="J143" s="14">
        <f>J116*Inputs!$H$60</f>
        <v>2002.4783393176474</v>
      </c>
      <c r="K143" s="14">
        <f>K116*Inputs!$H$60</f>
        <v>2150.5209762473869</v>
      </c>
      <c r="L143" s="14">
        <f>L116*Inputs!$H$60</f>
        <v>2371.6647963336936</v>
      </c>
      <c r="M143" s="14">
        <f>M116*Inputs!$H$60</f>
        <v>2397.6586455104157</v>
      </c>
      <c r="N143" s="183">
        <f>N116*Inputs!$H$60</f>
        <v>2272.1230006348619</v>
      </c>
      <c r="O143" s="14">
        <f>O116*Inputs!$H$60</f>
        <v>2330.2419815827438</v>
      </c>
      <c r="P143" s="14">
        <f>P116*Inputs!$H$60</f>
        <v>2318.1914816760409</v>
      </c>
      <c r="Q143" s="14">
        <f>Q116*Inputs!$H$60</f>
        <v>2324.2046165200504</v>
      </c>
      <c r="R143" s="14">
        <f>R116*Inputs!$H$60</f>
        <v>2313.3821839054676</v>
      </c>
      <c r="S143" s="14">
        <f>S116*Inputs!$H$60</f>
        <v>2313.82251056111</v>
      </c>
      <c r="T143" s="14">
        <f>T116*Inputs!$H$60</f>
        <v>2298.9676225120711</v>
      </c>
      <c r="U143" s="14">
        <f>U116*Inputs!$H$60</f>
        <v>2245.6882426330271</v>
      </c>
      <c r="V143" s="14">
        <f>V116*Inputs!$H$60</f>
        <v>2222.0930503225682</v>
      </c>
      <c r="W143" s="14">
        <f>W116*Inputs!$H$60</f>
        <v>2191.5903053311645</v>
      </c>
      <c r="X143" s="188">
        <f>X116*Inputs!$H$60</f>
        <v>2163.7514764698012</v>
      </c>
      <c r="Y143" s="159">
        <f>Y116*Inputs!$H$60</f>
        <v>2183.2466908360534</v>
      </c>
      <c r="Z143" s="159">
        <f>Z116*Inputs!$H$60</f>
        <v>2196.3500273148497</v>
      </c>
      <c r="AA143" s="159">
        <f>AA116*Inputs!$H$60</f>
        <v>2199.0526174397764</v>
      </c>
      <c r="AB143" s="159">
        <f>AB116*Inputs!$H$60</f>
        <v>2196.7984973743537</v>
      </c>
      <c r="AC143" s="159">
        <f>AC116*Inputs!$H$60</f>
        <v>2208.030702487295</v>
      </c>
      <c r="AD143" s="159">
        <f>AD116*Inputs!$H$60</f>
        <v>2221.6375614088943</v>
      </c>
      <c r="AE143" s="159">
        <f>AE116*Inputs!$H$60</f>
        <v>2230.4848463101603</v>
      </c>
      <c r="AF143" s="159">
        <f>AF116*Inputs!$H$60</f>
        <v>2248.5821863758902</v>
      </c>
      <c r="AG143" s="159">
        <f>AG116*Inputs!$H$60</f>
        <v>2247.0137267679097</v>
      </c>
      <c r="AH143" s="188">
        <f>AH116*Inputs!$H$60</f>
        <v>2246.7463251910572</v>
      </c>
      <c r="AI143" s="48"/>
    </row>
    <row r="144" spans="1:35">
      <c r="A144" s="10" t="s">
        <v>222</v>
      </c>
      <c r="C144" s="336">
        <f>C117*Inputs!$H$61</f>
        <v>1123.0758000000005</v>
      </c>
      <c r="D144" s="336">
        <f>D117*Inputs!$H$61</f>
        <v>1551.1612856467646</v>
      </c>
      <c r="E144" s="336">
        <f>E117*Inputs!$H$61</f>
        <v>1785.360745540652</v>
      </c>
      <c r="F144" s="336">
        <f>F117*Inputs!$H$61</f>
        <v>2393.4684495428382</v>
      </c>
      <c r="G144" s="336">
        <f>G117*Inputs!$H$61</f>
        <v>2098.4618137659604</v>
      </c>
      <c r="H144" s="408">
        <f>H117*Inputs!$H$61</f>
        <v>2071.6908235236651</v>
      </c>
      <c r="I144" s="14">
        <f>I117*Inputs!$H$61</f>
        <v>2548.847858850243</v>
      </c>
      <c r="J144" s="14">
        <f>J117*Inputs!$H$61</f>
        <v>2780.5326169049999</v>
      </c>
      <c r="K144" s="14">
        <f>K117*Inputs!$H$61</f>
        <v>2700.0861130292897</v>
      </c>
      <c r="L144" s="14">
        <f>L117*Inputs!$H$61</f>
        <v>2347.7112880110794</v>
      </c>
      <c r="M144" s="14">
        <f>M117*Inputs!$H$61</f>
        <v>2246.7274505221608</v>
      </c>
      <c r="N144" s="183">
        <f>N117*Inputs!$H$61</f>
        <v>2374.158150051655</v>
      </c>
      <c r="O144" s="14">
        <f>O117*Inputs!$H$61</f>
        <v>2401.0076461169479</v>
      </c>
      <c r="P144" s="14">
        <f>P117*Inputs!$H$61</f>
        <v>2547.0718708874624</v>
      </c>
      <c r="Q144" s="14">
        <f>Q117*Inputs!$H$61</f>
        <v>2585.0105754103038</v>
      </c>
      <c r="R144" s="14">
        <f>R117*Inputs!$H$61</f>
        <v>2707.6620597679903</v>
      </c>
      <c r="S144" s="14">
        <f>S117*Inputs!$H$61</f>
        <v>2772.1709524096441</v>
      </c>
      <c r="T144" s="14">
        <f>T117*Inputs!$H$61</f>
        <v>2826.2416809000365</v>
      </c>
      <c r="U144" s="14">
        <f>U117*Inputs!$H$61</f>
        <v>3051.7353160042421</v>
      </c>
      <c r="V144" s="14">
        <f>V117*Inputs!$H$61</f>
        <v>3117.2288510578182</v>
      </c>
      <c r="W144" s="14">
        <f>W117*Inputs!$H$61</f>
        <v>3240.458535020739</v>
      </c>
      <c r="X144" s="188">
        <f>X117*Inputs!$H$61</f>
        <v>3330.3232477365491</v>
      </c>
      <c r="Y144" s="159">
        <f>Y117*Inputs!$H$61</f>
        <v>3340.555703084277</v>
      </c>
      <c r="Z144" s="159">
        <f>Z117*Inputs!$H$61</f>
        <v>3390.9928529679314</v>
      </c>
      <c r="AA144" s="159">
        <f>AA117*Inputs!$H$61</f>
        <v>3481.3662927935079</v>
      </c>
      <c r="AB144" s="159">
        <f>AB117*Inputs!$H$61</f>
        <v>3617.4974047856258</v>
      </c>
      <c r="AC144" s="159">
        <f>AC117*Inputs!$H$61</f>
        <v>3669.5709896170947</v>
      </c>
      <c r="AD144" s="159">
        <f>AD117*Inputs!$H$61</f>
        <v>3747.9800493484322</v>
      </c>
      <c r="AE144" s="159">
        <f>AE117*Inputs!$H$61</f>
        <v>3845.1263029744387</v>
      </c>
      <c r="AF144" s="159">
        <f>AF117*Inputs!$H$61</f>
        <v>3933.0672176239664</v>
      </c>
      <c r="AG144" s="159">
        <f>AG117*Inputs!$H$61</f>
        <v>4144.7129707052445</v>
      </c>
      <c r="AH144" s="188">
        <f>AH117*Inputs!$H$61</f>
        <v>4324.1107620265484</v>
      </c>
      <c r="AI144" s="48"/>
    </row>
    <row r="145" spans="1:35">
      <c r="A145" s="10" t="s">
        <v>58</v>
      </c>
      <c r="C145" s="336">
        <f>SUM(C140,C143,C144)</f>
        <v>7914.6008100000017</v>
      </c>
      <c r="D145" s="336">
        <f>SUM(D140,D143,D144)</f>
        <v>8266.2480146429261</v>
      </c>
      <c r="E145" s="336">
        <f t="shared" ref="E145:AH145" si="91">SUM(E140,E143,E144)</f>
        <v>8634.6055208270009</v>
      </c>
      <c r="F145" s="336">
        <f t="shared" si="91"/>
        <v>9025.9244008019487</v>
      </c>
      <c r="G145" s="336">
        <f t="shared" si="91"/>
        <v>8719.7856700593238</v>
      </c>
      <c r="H145" s="408">
        <f t="shared" si="91"/>
        <v>8575.4511640452693</v>
      </c>
      <c r="I145" s="14">
        <f t="shared" si="91"/>
        <v>9210.086236869407</v>
      </c>
      <c r="J145" s="14">
        <f t="shared" si="91"/>
        <v>9558.644854438322</v>
      </c>
      <c r="K145" s="14">
        <f t="shared" si="91"/>
        <v>9911.328659087183</v>
      </c>
      <c r="L145" s="14">
        <f t="shared" si="91"/>
        <v>9918.4406727490932</v>
      </c>
      <c r="M145" s="14">
        <f t="shared" si="91"/>
        <v>10095.313227525101</v>
      </c>
      <c r="N145" s="188">
        <f t="shared" si="91"/>
        <v>10519.445988257221</v>
      </c>
      <c r="O145" s="14">
        <f t="shared" si="91"/>
        <v>10724.285362850969</v>
      </c>
      <c r="P145" s="14">
        <f t="shared" si="91"/>
        <v>11047.101944217127</v>
      </c>
      <c r="Q145" s="14">
        <f t="shared" si="91"/>
        <v>11176.813383093373</v>
      </c>
      <c r="R145" s="14">
        <f t="shared" si="91"/>
        <v>11470.191871430108</v>
      </c>
      <c r="S145" s="14">
        <f t="shared" si="91"/>
        <v>11661.571084308434</v>
      </c>
      <c r="T145" s="14">
        <f t="shared" si="91"/>
        <v>11799.393641353852</v>
      </c>
      <c r="U145" s="14">
        <f t="shared" si="91"/>
        <v>12264.178165972671</v>
      </c>
      <c r="V145" s="14">
        <f t="shared" si="91"/>
        <v>12448.815365993978</v>
      </c>
      <c r="W145" s="14">
        <f t="shared" si="91"/>
        <v>12771.912892791006</v>
      </c>
      <c r="X145" s="188">
        <f t="shared" si="91"/>
        <v>13042.430610772244</v>
      </c>
      <c r="Y145" s="159">
        <f t="shared" si="91"/>
        <v>13023.779749825304</v>
      </c>
      <c r="Z145" s="159">
        <f t="shared" si="91"/>
        <v>13084.261072669746</v>
      </c>
      <c r="AA145" s="159">
        <f t="shared" si="91"/>
        <v>13210.905433767912</v>
      </c>
      <c r="AB145" s="159">
        <f t="shared" si="91"/>
        <v>13431.448172162116</v>
      </c>
      <c r="AC145" s="159">
        <f t="shared" si="91"/>
        <v>13487.431934347391</v>
      </c>
      <c r="AD145" s="159">
        <f t="shared" si="91"/>
        <v>13607.897883846888</v>
      </c>
      <c r="AE145" s="159">
        <f t="shared" si="91"/>
        <v>13758.82588477213</v>
      </c>
      <c r="AF145" s="159">
        <f t="shared" si="91"/>
        <v>13907.595296915502</v>
      </c>
      <c r="AG145" s="159">
        <f t="shared" si="91"/>
        <v>14286.19416853933</v>
      </c>
      <c r="AH145" s="188">
        <f t="shared" si="91"/>
        <v>14591.039065874518</v>
      </c>
      <c r="AI145" s="48"/>
    </row>
    <row r="146" spans="1:35" s="1" customFormat="1">
      <c r="A146" s="1" t="s">
        <v>335</v>
      </c>
      <c r="B146" s="13"/>
      <c r="C146" s="346">
        <f>C145-'Output - Jobs vs Yr (BAU)'!C73</f>
        <v>1.3857300000017858</v>
      </c>
      <c r="D146" s="346">
        <f>D145-'Output - Jobs vs Yr (BAU)'!D73</f>
        <v>138.70693464292526</v>
      </c>
      <c r="E146" s="346">
        <f>E145-'Output - Jobs vs Yr (BAU)'!E73</f>
        <v>115.60315247859035</v>
      </c>
      <c r="F146" s="346">
        <f>F145-'Output - Jobs vs Yr (BAU)'!F73</f>
        <v>183.67393755590456</v>
      </c>
      <c r="G146" s="346">
        <f>G145-'Output - Jobs vs Yr (BAU)'!G73</f>
        <v>205.62996163969001</v>
      </c>
      <c r="H146" s="411">
        <f>H145-'Output - Jobs vs Yr (BAU)'!H73</f>
        <v>-14.116887638385379</v>
      </c>
      <c r="I146" s="15">
        <f>I145-'Output - Jobs vs Yr (BAU)'!I73</f>
        <v>166.38323634677363</v>
      </c>
      <c r="J146" s="15">
        <f>J145-'Output - Jobs vs Yr (BAU)'!J73</f>
        <v>173.27517497693589</v>
      </c>
      <c r="K146" s="15">
        <f>K145-'Output - Jobs vs Yr (BAU)'!K73</f>
        <v>280.43055662716142</v>
      </c>
      <c r="L146" s="15">
        <f>L145-'Output - Jobs vs Yr (BAU)'!L73</f>
        <v>306.13039050763291</v>
      </c>
      <c r="M146" s="15">
        <f>M145-'Output - Jobs vs Yr (BAU)'!M73</f>
        <v>346.00219726282376</v>
      </c>
      <c r="N146" s="183">
        <f>N145-'Output - Jobs vs Yr (BAU)'!N73</f>
        <v>405.04210090575543</v>
      </c>
      <c r="O146" s="15">
        <f>O145-'Output - Jobs vs Yr (BAU)'!O73</f>
        <v>307.16231539797991</v>
      </c>
      <c r="P146" s="15">
        <f>P145-'Output - Jobs vs Yr (BAU)'!P73</f>
        <v>370.85524917634575</v>
      </c>
      <c r="Q146" s="15">
        <f>Q145-'Output - Jobs vs Yr (BAU)'!Q73</f>
        <v>394.67418351016204</v>
      </c>
      <c r="R146" s="15">
        <f>R145-'Output - Jobs vs Yr (BAU)'!R73</f>
        <v>467.78301565558286</v>
      </c>
      <c r="S146" s="15">
        <f>S145-'Output - Jobs vs Yr (BAU)'!S73</f>
        <v>525.81484220576567</v>
      </c>
      <c r="T146" s="15">
        <f>T145-'Output - Jobs vs Yr (BAU)'!T73</f>
        <v>583.8782646452255</v>
      </c>
      <c r="U146" s="15">
        <f>U145-'Output - Jobs vs Yr (BAU)'!U73</f>
        <v>707.35846484029389</v>
      </c>
      <c r="V146" s="15">
        <f>V145-'Output - Jobs vs Yr (BAU)'!V73</f>
        <v>780.49546466309585</v>
      </c>
      <c r="W146" s="15">
        <f>W145-'Output - Jobs vs Yr (BAU)'!W73</f>
        <v>886.85122088040771</v>
      </c>
      <c r="X146" s="191">
        <f>X145-'Output - Jobs vs Yr (BAU)'!X73</f>
        <v>998.68500010940625</v>
      </c>
      <c r="Y146" s="131">
        <f>Y145-'Output - Jobs vs Yr (BAU)'!Y73</f>
        <v>996.92277160232879</v>
      </c>
      <c r="Z146" s="131">
        <f>Z145-'Output - Jobs vs Yr (BAU)'!Z73</f>
        <v>1009.1043911604684</v>
      </c>
      <c r="AA146" s="131">
        <f>AA145-'Output - Jobs vs Yr (BAU)'!AA73</f>
        <v>1027.9552928286994</v>
      </c>
      <c r="AB146" s="131">
        <f>AB145-'Output - Jobs vs Yr (BAU)'!AB73</f>
        <v>1068.1525834593085</v>
      </c>
      <c r="AC146" s="131">
        <f>AC145-'Output - Jobs vs Yr (BAU)'!AC73</f>
        <v>1081.8751041913456</v>
      </c>
      <c r="AD146" s="131">
        <f>AD145-'Output - Jobs vs Yr (BAU)'!AD73</f>
        <v>1104.3631700220831</v>
      </c>
      <c r="AE146" s="131">
        <f>AE145-'Output - Jobs vs Yr (BAU)'!AE73</f>
        <v>1154.487595366747</v>
      </c>
      <c r="AF146" s="131">
        <f>AF145-'Output - Jobs vs Yr (BAU)'!AF73</f>
        <v>1237.3277632301779</v>
      </c>
      <c r="AG146" s="131">
        <f>AG145-'Output - Jobs vs Yr (BAU)'!AG73</f>
        <v>1344.1563097916351</v>
      </c>
      <c r="AH146" s="191">
        <f>AH145-'Output - Jobs vs Yr (BAU)'!AH73</f>
        <v>1438.2382356454837</v>
      </c>
    </row>
    <row r="147" spans="1:35" s="1" customFormat="1">
      <c r="A147" s="11"/>
      <c r="B147" s="13"/>
      <c r="C147" s="333"/>
      <c r="D147" s="346"/>
      <c r="E147" s="346"/>
      <c r="F147" s="346"/>
      <c r="G147" s="346"/>
      <c r="H147" s="411"/>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1"/>
    </row>
    <row r="148" spans="1:35" hidden="1">
      <c r="A148" s="1" t="s">
        <v>199</v>
      </c>
    </row>
    <row r="149" spans="1:35" hidden="1">
      <c r="A149" s="20" t="s">
        <v>197</v>
      </c>
      <c r="C149" s="338">
        <f>'backup - EIA liq_fuelS_aeo2014'!E44</f>
        <v>7088.7783050537164</v>
      </c>
      <c r="D149" s="338">
        <f>'backup - EIA liq_fuelS_aeo2014'!F44</f>
        <v>7149.5953941345133</v>
      </c>
      <c r="E149" s="338">
        <f>'backup - EIA liq_fuelS_aeo2014'!G44</f>
        <v>6912.5827950000003</v>
      </c>
      <c r="F149" s="338">
        <f>'backup - EIA liq_fuelS_aeo2014'!H44</f>
        <v>6786.185485</v>
      </c>
      <c r="G149" s="338">
        <f>'backup - EIA liq_fuelS_aeo2014'!I44</f>
        <v>6929.6414350000005</v>
      </c>
      <c r="H149" s="412">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5">
        <f>'backup - EIA liq_fuelS_aeo2014'!Z44</f>
        <v>6908.05278</v>
      </c>
    </row>
    <row r="150" spans="1:35" hidden="1">
      <c r="A150" s="20" t="s">
        <v>198</v>
      </c>
      <c r="C150" s="338">
        <f>'backup - EIA liq_fuelS_aeo2014'!E44</f>
        <v>7088.7783050537164</v>
      </c>
      <c r="D150" s="338">
        <f>'backup - EIA liq_fuelS_aeo2014'!F44</f>
        <v>7149.5953941345133</v>
      </c>
      <c r="E150" s="338">
        <f>'backup - EIA liq_fuelS_aeo2014'!G44</f>
        <v>6912.5827950000003</v>
      </c>
      <c r="F150" s="338">
        <f>'backup - EIA liq_fuelS_aeo2014'!H44</f>
        <v>6786.185485</v>
      </c>
      <c r="G150" s="338">
        <f>'backup - EIA liq_fuelS_aeo2014'!I44</f>
        <v>6929.6414350000005</v>
      </c>
      <c r="H150" s="412">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5">
        <f>'backup - EIA liq_fuelS_aeo2014'!Z44</f>
        <v>6908.05278</v>
      </c>
    </row>
    <row r="151" spans="1:35" hidden="1">
      <c r="A151" s="20" t="s">
        <v>200</v>
      </c>
      <c r="C151" s="347">
        <f>'backup - EIA liq_fuelS_aeo2014'!E46</f>
        <v>273.77869168296451</v>
      </c>
      <c r="D151" s="347">
        <f>'backup - EIA liq_fuelS_aeo2014'!F46</f>
        <v>330.59007454663532</v>
      </c>
      <c r="E151" s="347">
        <f>'backup - EIA liq_fuelS_aeo2014'!G46</f>
        <v>346.41273999999999</v>
      </c>
      <c r="F151" s="347">
        <f>'backup - EIA liq_fuelS_aeo2014'!H46</f>
        <v>332.23648773503913</v>
      </c>
      <c r="G151" s="347">
        <f>'backup - EIA liq_fuelS_aeo2014'!I46</f>
        <v>336.63400877733272</v>
      </c>
      <c r="H151" s="413">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6">
        <f>'backup - EIA liq_fuelS_aeo2014'!Z46</f>
        <v>459.60339229062083</v>
      </c>
    </row>
    <row r="152" spans="1:35" hidden="1">
      <c r="A152" s="20" t="s">
        <v>203</v>
      </c>
      <c r="C152" s="337">
        <f>C151/C149</f>
        <v>3.8621421054708789E-2</v>
      </c>
      <c r="D152" s="337">
        <f t="shared" ref="D152:X152" si="92">D151/D149</f>
        <v>4.62389906452398E-2</v>
      </c>
      <c r="E152" s="337">
        <f t="shared" si="92"/>
        <v>5.0113358533740347E-2</v>
      </c>
      <c r="F152" s="337">
        <f t="shared" si="92"/>
        <v>4.8957766991398283E-2</v>
      </c>
      <c r="G152" s="337">
        <f t="shared" si="92"/>
        <v>4.8578849560248959E-2</v>
      </c>
      <c r="H152" s="285">
        <f t="shared" si="92"/>
        <v>5.1284361693822764E-2</v>
      </c>
      <c r="I152" s="91">
        <f t="shared" si="92"/>
        <v>4.7576032869045513E-2</v>
      </c>
      <c r="J152" s="91">
        <f t="shared" si="92"/>
        <v>4.7305096007127082E-2</v>
      </c>
      <c r="K152" s="91">
        <f t="shared" si="92"/>
        <v>4.7990408149769591E-2</v>
      </c>
      <c r="L152" s="91">
        <f t="shared" si="92"/>
        <v>4.8486149400757073E-2</v>
      </c>
      <c r="M152" s="91">
        <f t="shared" si="92"/>
        <v>4.9368514215783074E-2</v>
      </c>
      <c r="N152" s="181">
        <f t="shared" si="92"/>
        <v>5.0830360119830421E-2</v>
      </c>
      <c r="O152" s="91">
        <f t="shared" si="92"/>
        <v>5.2227082464624618E-2</v>
      </c>
      <c r="P152" s="91">
        <f t="shared" si="92"/>
        <v>5.4509371249060634E-2</v>
      </c>
      <c r="Q152" s="91">
        <f t="shared" si="92"/>
        <v>5.6685779692733994E-2</v>
      </c>
      <c r="R152" s="91">
        <f t="shared" si="92"/>
        <v>5.8757749486676496E-2</v>
      </c>
      <c r="S152" s="91">
        <f t="shared" si="92"/>
        <v>6.059303768673973E-2</v>
      </c>
      <c r="T152" s="91">
        <f t="shared" si="92"/>
        <v>6.2328131729370434E-2</v>
      </c>
      <c r="U152" s="91">
        <f t="shared" si="92"/>
        <v>6.3760503080617439E-2</v>
      </c>
      <c r="V152" s="91">
        <f t="shared" si="92"/>
        <v>6.4904735244002754E-2</v>
      </c>
      <c r="W152" s="91">
        <f t="shared" si="92"/>
        <v>6.5845504400378327E-2</v>
      </c>
      <c r="X152" s="186">
        <f t="shared" si="92"/>
        <v>6.6531540352623195E-2</v>
      </c>
    </row>
    <row r="153" spans="1:35" hidden="1">
      <c r="A153" t="s">
        <v>201</v>
      </c>
      <c r="C153" s="347">
        <f>'backup - EIA liq_fuelS_aeo2014'!E46</f>
        <v>273.77869168296451</v>
      </c>
      <c r="D153" s="347">
        <f>'backup - EIA liq_fuelS_aeo2014'!F46</f>
        <v>330.59007454663532</v>
      </c>
      <c r="E153" s="347">
        <f>'backup - EIA liq_fuelS_aeo2014'!G46</f>
        <v>346.41273999999999</v>
      </c>
      <c r="F153" s="347">
        <f>'backup - EIA liq_fuelS_aeo2014'!H46</f>
        <v>332.23648773503913</v>
      </c>
      <c r="G153" s="347">
        <f>'backup - EIA liq_fuelS_aeo2014'!I46</f>
        <v>336.63400877733272</v>
      </c>
      <c r="H153" s="413">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6">
        <f>'backup - EIA liq_fuelS_aeo2014'!Z46</f>
        <v>459.60339229062083</v>
      </c>
    </row>
    <row r="154" spans="1:35" hidden="1">
      <c r="A154" t="s">
        <v>204</v>
      </c>
      <c r="C154" s="337">
        <f>C153/C149</f>
        <v>3.8621421054708789E-2</v>
      </c>
      <c r="D154" s="337">
        <f t="shared" ref="D154:X154" si="93">D153/D149</f>
        <v>4.62389906452398E-2</v>
      </c>
      <c r="E154" s="337">
        <f t="shared" si="93"/>
        <v>5.0113358533740347E-2</v>
      </c>
      <c r="F154" s="337">
        <f t="shared" si="93"/>
        <v>4.8957766991398283E-2</v>
      </c>
      <c r="G154" s="337">
        <f t="shared" si="93"/>
        <v>4.8578849560248959E-2</v>
      </c>
      <c r="H154" s="285">
        <f t="shared" si="93"/>
        <v>5.1284361693822764E-2</v>
      </c>
      <c r="I154" s="91">
        <f t="shared" si="93"/>
        <v>4.7576032869045513E-2</v>
      </c>
      <c r="J154" s="91">
        <f t="shared" si="93"/>
        <v>4.7305096007127082E-2</v>
      </c>
      <c r="K154" s="91">
        <f t="shared" si="93"/>
        <v>4.7990408149769591E-2</v>
      </c>
      <c r="L154" s="91">
        <f t="shared" si="93"/>
        <v>4.8486149400757073E-2</v>
      </c>
      <c r="M154" s="91">
        <f t="shared" si="93"/>
        <v>4.9368514215783074E-2</v>
      </c>
      <c r="N154" s="181">
        <f t="shared" si="93"/>
        <v>5.0830360119830421E-2</v>
      </c>
      <c r="O154" s="91">
        <f t="shared" si="93"/>
        <v>5.2227082464624618E-2</v>
      </c>
      <c r="P154" s="91">
        <f t="shared" si="93"/>
        <v>5.4509371249060634E-2</v>
      </c>
      <c r="Q154" s="91">
        <f t="shared" si="93"/>
        <v>5.6685779692733994E-2</v>
      </c>
      <c r="R154" s="91">
        <f t="shared" si="93"/>
        <v>5.8757749486676496E-2</v>
      </c>
      <c r="S154" s="91">
        <f t="shared" si="93"/>
        <v>6.059303768673973E-2</v>
      </c>
      <c r="T154" s="91">
        <f t="shared" si="93"/>
        <v>6.2328131729370434E-2</v>
      </c>
      <c r="U154" s="91">
        <f t="shared" si="93"/>
        <v>6.3760503080617439E-2</v>
      </c>
      <c r="V154" s="91">
        <f t="shared" si="93"/>
        <v>6.4904735244002754E-2</v>
      </c>
      <c r="W154" s="91">
        <f t="shared" si="93"/>
        <v>6.5845504400378327E-2</v>
      </c>
      <c r="X154" s="186">
        <f t="shared" si="93"/>
        <v>6.6531540352623195E-2</v>
      </c>
    </row>
    <row r="155" spans="1:35" hidden="1">
      <c r="A155" s="1" t="s">
        <v>202</v>
      </c>
      <c r="C155" s="347">
        <f>MAX(C151,C153)</f>
        <v>273.77869168296451</v>
      </c>
      <c r="D155" s="347">
        <f t="shared" ref="D155:X155" si="94">MAX(D151,D153)</f>
        <v>330.59007454663532</v>
      </c>
      <c r="E155" s="347">
        <f t="shared" si="94"/>
        <v>346.41273999999999</v>
      </c>
      <c r="F155" s="347">
        <f t="shared" si="94"/>
        <v>332.23648773503913</v>
      </c>
      <c r="G155" s="347">
        <f t="shared" si="94"/>
        <v>336.63400877733272</v>
      </c>
      <c r="H155" s="413">
        <f t="shared" si="94"/>
        <v>352.19858305216189</v>
      </c>
      <c r="I155" s="52">
        <f t="shared" si="94"/>
        <v>332.67387741278202</v>
      </c>
      <c r="J155" s="52">
        <f t="shared" si="94"/>
        <v>334.25860074671806</v>
      </c>
      <c r="K155" s="52">
        <f t="shared" si="94"/>
        <v>341.17813427402433</v>
      </c>
      <c r="L155" s="52">
        <f t="shared" si="94"/>
        <v>345.58877710595249</v>
      </c>
      <c r="M155" s="52">
        <f t="shared" si="94"/>
        <v>352.0193896929872</v>
      </c>
      <c r="N155" s="190">
        <f t="shared" si="94"/>
        <v>362.16295876265764</v>
      </c>
      <c r="O155" s="52">
        <f t="shared" si="94"/>
        <v>371.28950968144909</v>
      </c>
      <c r="P155" s="52">
        <f t="shared" si="94"/>
        <v>386.73310267300621</v>
      </c>
      <c r="Q155" s="52">
        <f t="shared" si="94"/>
        <v>401.15959175664915</v>
      </c>
      <c r="R155" s="52">
        <f t="shared" si="94"/>
        <v>414.56272820760728</v>
      </c>
      <c r="S155" s="52">
        <f t="shared" si="94"/>
        <v>426.01426158540727</v>
      </c>
      <c r="T155" s="52">
        <f t="shared" si="94"/>
        <v>436.3142303161336</v>
      </c>
      <c r="U155" s="52">
        <f t="shared" si="94"/>
        <v>444.95490300330164</v>
      </c>
      <c r="V155" s="52">
        <f t="shared" si="94"/>
        <v>451.53307562319765</v>
      </c>
      <c r="W155" s="52">
        <f t="shared" si="94"/>
        <v>456.17321024350161</v>
      </c>
      <c r="X155" s="376">
        <f t="shared" si="94"/>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8">
        <f>C149-C150</f>
        <v>0</v>
      </c>
      <c r="D157" s="338">
        <f t="shared" ref="D157:X157" si="95">D149-D150</f>
        <v>0</v>
      </c>
      <c r="E157" s="338">
        <f t="shared" si="95"/>
        <v>0</v>
      </c>
      <c r="F157" s="338">
        <f t="shared" si="95"/>
        <v>0</v>
      </c>
      <c r="G157" s="338">
        <f t="shared" si="95"/>
        <v>0</v>
      </c>
      <c r="H157" s="412">
        <f t="shared" si="95"/>
        <v>0</v>
      </c>
      <c r="I157" s="16">
        <f t="shared" si="95"/>
        <v>0</v>
      </c>
      <c r="J157" s="16">
        <f t="shared" si="95"/>
        <v>0</v>
      </c>
      <c r="K157" s="16">
        <f t="shared" si="95"/>
        <v>0</v>
      </c>
      <c r="L157" s="16">
        <f t="shared" si="95"/>
        <v>0</v>
      </c>
      <c r="M157" s="16">
        <f t="shared" si="95"/>
        <v>0</v>
      </c>
      <c r="N157" s="189">
        <f t="shared" si="95"/>
        <v>0</v>
      </c>
      <c r="O157" s="16">
        <f t="shared" si="95"/>
        <v>0</v>
      </c>
      <c r="P157" s="16">
        <f t="shared" si="95"/>
        <v>0</v>
      </c>
      <c r="Q157" s="16">
        <f t="shared" si="95"/>
        <v>0</v>
      </c>
      <c r="R157" s="16">
        <f t="shared" si="95"/>
        <v>0</v>
      </c>
      <c r="S157" s="16">
        <f t="shared" si="95"/>
        <v>0</v>
      </c>
      <c r="T157" s="16">
        <f t="shared" si="95"/>
        <v>0</v>
      </c>
      <c r="U157" s="16">
        <f t="shared" si="95"/>
        <v>0</v>
      </c>
      <c r="V157" s="16">
        <f t="shared" si="95"/>
        <v>0</v>
      </c>
      <c r="W157" s="16">
        <f t="shared" si="95"/>
        <v>0</v>
      </c>
      <c r="X157" s="375">
        <f t="shared" si="95"/>
        <v>0</v>
      </c>
    </row>
    <row r="158" spans="1:35" hidden="1"/>
    <row r="159" spans="1:35" hidden="1">
      <c r="A159" s="1" t="s">
        <v>252</v>
      </c>
    </row>
    <row r="160" spans="1:35" hidden="1">
      <c r="A160" t="s">
        <v>285</v>
      </c>
      <c r="C160" s="335">
        <v>0</v>
      </c>
      <c r="D160" s="335">
        <v>0</v>
      </c>
      <c r="E160" s="335">
        <v>0</v>
      </c>
      <c r="F160" s="335">
        <v>0</v>
      </c>
      <c r="G160" s="335">
        <v>0</v>
      </c>
      <c r="H160" s="287">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286</v>
      </c>
      <c r="C161" s="335">
        <v>0</v>
      </c>
      <c r="D161" s="335">
        <v>0</v>
      </c>
      <c r="E161" s="335">
        <v>0</v>
      </c>
      <c r="F161" s="335">
        <v>0</v>
      </c>
      <c r="G161" s="335">
        <v>0</v>
      </c>
      <c r="H161" s="287">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287</v>
      </c>
      <c r="C162" s="335">
        <v>0</v>
      </c>
      <c r="D162" s="335">
        <v>0</v>
      </c>
      <c r="E162" s="335">
        <v>0</v>
      </c>
      <c r="F162" s="335">
        <v>0</v>
      </c>
      <c r="G162" s="335">
        <v>0</v>
      </c>
      <c r="H162" s="287">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288</v>
      </c>
      <c r="C163" s="335">
        <v>0</v>
      </c>
      <c r="D163" s="335">
        <v>0</v>
      </c>
      <c r="E163" s="335">
        <v>0</v>
      </c>
      <c r="F163" s="335">
        <v>0</v>
      </c>
      <c r="G163" s="335">
        <v>0</v>
      </c>
      <c r="H163" s="287">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289</v>
      </c>
      <c r="C164" s="335" t="e">
        <f>C157*#REF!</f>
        <v>#REF!</v>
      </c>
      <c r="D164" s="335" t="e">
        <f>D157*#REF!</f>
        <v>#REF!</v>
      </c>
      <c r="E164" s="335" t="e">
        <f>E157*#REF!</f>
        <v>#REF!</v>
      </c>
      <c r="F164" s="335" t="e">
        <f>F157*#REF!</f>
        <v>#REF!</v>
      </c>
      <c r="G164" s="335" t="e">
        <f>G157*#REF!</f>
        <v>#REF!</v>
      </c>
      <c r="H164" s="287"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290</v>
      </c>
      <c r="C165" s="335">
        <v>0</v>
      </c>
      <c r="D165" s="335">
        <v>0</v>
      </c>
      <c r="E165" s="335">
        <v>0</v>
      </c>
      <c r="F165" s="335">
        <v>0</v>
      </c>
      <c r="G165" s="335">
        <v>0</v>
      </c>
      <c r="H165" s="287">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254</v>
      </c>
      <c r="C166" s="335" t="e">
        <f>C162-C160+C164+C165</f>
        <v>#REF!</v>
      </c>
      <c r="D166" s="335">
        <v>0</v>
      </c>
      <c r="E166" s="335">
        <v>0</v>
      </c>
      <c r="F166" s="335">
        <v>0</v>
      </c>
      <c r="G166" s="335">
        <v>0</v>
      </c>
      <c r="H166" s="287">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5">
        <v>0</v>
      </c>
      <c r="D169" s="335">
        <v>0</v>
      </c>
      <c r="E169" s="335">
        <v>0</v>
      </c>
      <c r="F169" s="335">
        <v>0</v>
      </c>
      <c r="G169" s="335">
        <v>0</v>
      </c>
      <c r="H169" s="287">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295</v>
      </c>
      <c r="C170" s="335">
        <v>0</v>
      </c>
      <c r="D170" s="335">
        <v>0</v>
      </c>
      <c r="E170" s="335">
        <v>0</v>
      </c>
      <c r="F170" s="335">
        <v>0</v>
      </c>
      <c r="G170" s="335">
        <v>0</v>
      </c>
      <c r="H170" s="287">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296</v>
      </c>
      <c r="C171" s="335">
        <v>0</v>
      </c>
      <c r="D171" s="335">
        <v>0</v>
      </c>
      <c r="E171" s="335">
        <v>0</v>
      </c>
      <c r="F171" s="335">
        <v>0</v>
      </c>
      <c r="G171" s="335">
        <v>0</v>
      </c>
      <c r="H171" s="287">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297</v>
      </c>
      <c r="C172" s="335">
        <v>0</v>
      </c>
      <c r="D172" s="335">
        <v>0</v>
      </c>
      <c r="E172" s="335">
        <v>0</v>
      </c>
      <c r="F172" s="335">
        <v>0</v>
      </c>
      <c r="G172" s="335">
        <v>0</v>
      </c>
      <c r="H172" s="287">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255</v>
      </c>
      <c r="C173" s="335" t="e">
        <f>'backup - Mass Transit'!BC34</f>
        <v>#REF!</v>
      </c>
      <c r="D173" s="335" t="e">
        <f>'backup - Mass Transit'!BD34</f>
        <v>#REF!</v>
      </c>
      <c r="E173" s="335" t="e">
        <f>'backup - Mass Transit'!BE34</f>
        <v>#REF!</v>
      </c>
      <c r="F173" s="335" t="e">
        <f>'backup - Mass Transit'!BF34</f>
        <v>#REF!</v>
      </c>
      <c r="G173" s="335" t="e">
        <f>'backup - Mass Transit'!BG34</f>
        <v>#REF!</v>
      </c>
      <c r="H173" s="287"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256</v>
      </c>
      <c r="C175" s="333">
        <v>2009</v>
      </c>
      <c r="D175" s="333">
        <v>2010</v>
      </c>
      <c r="E175" s="333">
        <v>2011</v>
      </c>
      <c r="F175" s="333">
        <v>2012</v>
      </c>
      <c r="G175" s="333">
        <v>2013</v>
      </c>
      <c r="H175" s="406">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299</v>
      </c>
      <c r="C176" s="339">
        <f>'Output - Jobs vs Yr (BAU)'!C55+'Output - Jobs vs Yr (BAU)'!C73</f>
        <v>16705.67628</v>
      </c>
      <c r="D176" s="339">
        <f>'Output - Jobs vs Yr (BAU)'!D55+'Output - Jobs vs Yr (BAU)'!D73</f>
        <v>17158.14228</v>
      </c>
      <c r="E176" s="339">
        <f>'Output - Jobs vs Yr (BAU)'!E55+'Output - Jobs vs Yr (BAU)'!E73</f>
        <v>17984.5605554022</v>
      </c>
      <c r="F176" s="339">
        <f>'Output - Jobs vs Yr (BAU)'!F55+'Output - Jobs vs Yr (BAU)'!F73</f>
        <v>18666.97320018609</v>
      </c>
      <c r="G176" s="339">
        <f>'Output - Jobs vs Yr (BAU)'!G55+'Output - Jobs vs Yr (BAU)'!G73</f>
        <v>17974.328717774784</v>
      </c>
      <c r="H176" s="410">
        <f>'Output - Jobs vs Yr (BAU)'!H55+'Output - Jobs vs Yr (BAU)'!H73</f>
        <v>18133.532553554385</v>
      </c>
      <c r="I176" s="19">
        <f>'Output - Jobs vs Yr (BAU)'!I55+'Output - Jobs vs Yr (BAU)'!I73</f>
        <v>19092.261889992224</v>
      </c>
      <c r="J176" s="19">
        <f>'Output - Jobs vs Yr (BAU)'!J55+'Output - Jobs vs Yr (BAU)'!J73</f>
        <v>19813.558212196262</v>
      </c>
      <c r="K176" s="19">
        <f>'Output - Jobs vs Yr (BAU)'!K55+'Output - Jobs vs Yr (BAU)'!K73</f>
        <v>20331.895994082268</v>
      </c>
      <c r="L176" s="19">
        <f>'Output - Jobs vs Yr (BAU)'!L55+'Output - Jobs vs Yr (BAU)'!L73</f>
        <v>20292.655040287529</v>
      </c>
      <c r="M176" s="19">
        <f>'Output - Jobs vs Yr (BAU)'!M55+'Output - Jobs vs Yr (BAU)'!M73</f>
        <v>20581.878841664809</v>
      </c>
      <c r="N176" s="183">
        <f>'Output - Jobs vs Yr (BAU)'!N55+'Output - Jobs vs Yr (BAU)'!N73</f>
        <v>21352.630428853096</v>
      </c>
      <c r="O176" s="19">
        <f>'Output - Jobs vs Yr (BAU)'!O55+'Output - Jobs vs Yr (BAU)'!O73</f>
        <v>21991.704211289645</v>
      </c>
      <c r="P176" s="19">
        <f>'Output - Jobs vs Yr (BAU)'!P55+'Output - Jobs vs Yr (BAU)'!P73</f>
        <v>22538.74302286387</v>
      </c>
      <c r="Q176" s="19">
        <f>'Output - Jobs vs Yr (BAU)'!Q55+'Output - Jobs vs Yr (BAU)'!Q73</f>
        <v>22762.293865786778</v>
      </c>
      <c r="R176" s="19">
        <f>'Output - Jobs vs Yr (BAU)'!R55+'Output - Jobs vs Yr (BAU)'!R73</f>
        <v>23227.307584412883</v>
      </c>
      <c r="S176" s="19">
        <f>'Output - Jobs vs Yr (BAU)'!S55+'Output - Jobs vs Yr (BAU)'!S73</f>
        <v>23508.818733327855</v>
      </c>
      <c r="T176" s="19">
        <f>'Output - Jobs vs Yr (BAU)'!T55+'Output - Jobs vs Yr (BAU)'!T73</f>
        <v>23677.199128607099</v>
      </c>
      <c r="U176" s="19">
        <f>'Output - Jobs vs Yr (BAU)'!U55+'Output - Jobs vs Yr (BAU)'!U73</f>
        <v>24397.730480168349</v>
      </c>
      <c r="V176" s="19">
        <f>'Output - Jobs vs Yr (BAU)'!V55+'Output - Jobs vs Yr (BAU)'!V73</f>
        <v>24633.119791698529</v>
      </c>
      <c r="W176" s="19">
        <f>'Output - Jobs vs Yr (BAU)'!W55+'Output - Jobs vs Yr (BAU)'!W73</f>
        <v>25090.685751811263</v>
      </c>
      <c r="X176" s="183">
        <f>'Output - Jobs vs Yr (BAU)'!X55+'Output - Jobs vs Yr (BAU)'!X73</f>
        <v>25425.685178065993</v>
      </c>
      <c r="Y176" s="207">
        <f>'Output - Jobs vs Yr (BAU)'!Y55+'Output - Jobs vs Yr (BAU)'!Y73</f>
        <v>25390.031398470725</v>
      </c>
      <c r="Z176" s="207">
        <f>'Output - Jobs vs Yr (BAU)'!Z55+'Output - Jobs vs Yr (BAU)'!Z73</f>
        <v>25491.997438741804</v>
      </c>
      <c r="AA176" s="207">
        <f>'Output - Jobs vs Yr (BAU)'!AA55+'Output - Jobs vs Yr (BAU)'!AA73</f>
        <v>25719.561408649446</v>
      </c>
      <c r="AB176" s="207">
        <f>'Output - Jobs vs Yr (BAU)'!AB55+'Output - Jobs vs Yr (BAU)'!AB73</f>
        <v>26100.290687261484</v>
      </c>
      <c r="AC176" s="207">
        <f>'Output - Jobs vs Yr (BAU)'!AC55+'Output - Jobs vs Yr (BAU)'!AC73</f>
        <v>26189.508863662762</v>
      </c>
      <c r="AD176" s="207">
        <f>'Output - Jobs vs Yr (BAU)'!AD55+'Output - Jobs vs Yr (BAU)'!AD73</f>
        <v>26396.351062519032</v>
      </c>
      <c r="AE176" s="207">
        <f>'Output - Jobs vs Yr (BAU)'!AE55+'Output - Jobs vs Yr (BAU)'!AE73</f>
        <v>26609.158610966919</v>
      </c>
      <c r="AF176" s="207">
        <f>'Output - Jobs vs Yr (BAU)'!AF55+'Output - Jobs vs Yr (BAU)'!AF73</f>
        <v>26748.342571113462</v>
      </c>
      <c r="AG176" s="207">
        <f>'Output - Jobs vs Yr (BAU)'!AG55+'Output - Jobs vs Yr (BAU)'!AG73</f>
        <v>27322.079924022913</v>
      </c>
      <c r="AH176" s="183">
        <f>'Output - Jobs vs Yr (BAU)'!AH55+'Output - Jobs vs Yr (BAU)'!AH73</f>
        <v>27767.023974927964</v>
      </c>
      <c r="AI176" s="1"/>
    </row>
    <row r="177" spans="1:35">
      <c r="A177" s="76" t="s">
        <v>300</v>
      </c>
      <c r="C177" s="339">
        <f>'Output - Jobs vs Yr (BAU)'!C55</f>
        <v>8792.4612000000016</v>
      </c>
      <c r="D177" s="339">
        <f>'Output - Jobs vs Yr (BAU)'!D55</f>
        <v>9030.601200000001</v>
      </c>
      <c r="E177" s="339">
        <f>'Output - Jobs vs Yr (BAU)'!E55</f>
        <v>9465.5581870537899</v>
      </c>
      <c r="F177" s="339">
        <f>'Output - Jobs vs Yr (BAU)'!F55</f>
        <v>9824.722736940048</v>
      </c>
      <c r="G177" s="339">
        <f>'Output - Jobs vs Yr (BAU)'!G55</f>
        <v>9460.1730093551487</v>
      </c>
      <c r="H177" s="410">
        <f>'Output - Jobs vs Yr (BAU)'!H55</f>
        <v>9543.9645018707306</v>
      </c>
      <c r="I177" s="19">
        <f>'Output - Jobs vs Yr (BAU)'!I55</f>
        <v>10048.558889469592</v>
      </c>
      <c r="J177" s="19">
        <f>'Output - Jobs vs Yr (BAU)'!J55</f>
        <v>10428.188532734875</v>
      </c>
      <c r="K177" s="19">
        <f>'Output - Jobs vs Yr (BAU)'!K55</f>
        <v>10700.997891622248</v>
      </c>
      <c r="L177" s="19">
        <f>'Output - Jobs vs Yr (BAU)'!L55</f>
        <v>10680.344758046069</v>
      </c>
      <c r="M177" s="19">
        <f>'Output - Jobs vs Yr (BAU)'!M55</f>
        <v>10832.567811402532</v>
      </c>
      <c r="N177" s="183">
        <f>'Output - Jobs vs Yr (BAU)'!N55</f>
        <v>11238.22654150163</v>
      </c>
      <c r="O177" s="19">
        <f>'Output - Jobs vs Yr (BAU)'!O55</f>
        <v>11574.581163836654</v>
      </c>
      <c r="P177" s="19">
        <f>'Output - Jobs vs Yr (BAU)'!P55</f>
        <v>11862.49632782309</v>
      </c>
      <c r="Q177" s="19">
        <f>'Output - Jobs vs Yr (BAU)'!Q55</f>
        <v>11980.154666203567</v>
      </c>
      <c r="R177" s="19">
        <f>'Output - Jobs vs Yr (BAU)'!R55</f>
        <v>12224.89872863836</v>
      </c>
      <c r="S177" s="19">
        <f>'Output - Jobs vs Yr (BAU)'!S55</f>
        <v>12373.062491225188</v>
      </c>
      <c r="T177" s="19">
        <f>'Output - Jobs vs Yr (BAU)'!T55</f>
        <v>12461.683751898474</v>
      </c>
      <c r="U177" s="19">
        <f>'Output - Jobs vs Yr (BAU)'!U55</f>
        <v>12840.910779035974</v>
      </c>
      <c r="V177" s="19">
        <f>'Output - Jobs vs Yr (BAU)'!V55</f>
        <v>12964.799890367647</v>
      </c>
      <c r="W177" s="19">
        <f>'Output - Jobs vs Yr (BAU)'!W55</f>
        <v>13205.624079900665</v>
      </c>
      <c r="X177" s="183">
        <f>'Output - Jobs vs Yr (BAU)'!X55</f>
        <v>13381.939567403155</v>
      </c>
      <c r="Y177" s="207">
        <f>'Output - Jobs vs Yr (BAU)'!Y55</f>
        <v>13363.174420247749</v>
      </c>
      <c r="Z177" s="207">
        <f>'Output - Jobs vs Yr (BAU)'!Z55</f>
        <v>13416.840757232529</v>
      </c>
      <c r="AA177" s="207">
        <f>'Output - Jobs vs Yr (BAU)'!AA55</f>
        <v>13536.611267710236</v>
      </c>
      <c r="AB177" s="207">
        <f>'Output - Jobs vs Yr (BAU)'!AB55</f>
        <v>13736.995098558677</v>
      </c>
      <c r="AC177" s="207">
        <f>'Output - Jobs vs Yr (BAU)'!AC55</f>
        <v>13783.952033506717</v>
      </c>
      <c r="AD177" s="207">
        <f>'Output - Jobs vs Yr (BAU)'!AD55</f>
        <v>13892.816348694229</v>
      </c>
      <c r="AE177" s="207">
        <f>'Output - Jobs vs Yr (BAU)'!AE55</f>
        <v>14004.820321561536</v>
      </c>
      <c r="AF177" s="207">
        <f>'Output - Jobs vs Yr (BAU)'!AF55</f>
        <v>14078.075037428138</v>
      </c>
      <c r="AG177" s="207">
        <f>'Output - Jobs vs Yr (BAU)'!AG55</f>
        <v>14380.042065275218</v>
      </c>
      <c r="AH177" s="183">
        <f>'Output - Jobs vs Yr (BAU)'!AH55</f>
        <v>14614.223144698928</v>
      </c>
      <c r="AI177" s="1"/>
    </row>
    <row r="178" spans="1:35">
      <c r="A178" s="76" t="s">
        <v>301</v>
      </c>
      <c r="C178" s="339">
        <f>'Output - Jobs vs Yr (BAU)'!C73</f>
        <v>7913.2150799999999</v>
      </c>
      <c r="D178" s="339">
        <f>'Output - Jobs vs Yr (BAU)'!D73</f>
        <v>8127.5410800000009</v>
      </c>
      <c r="E178" s="339">
        <f>'Output - Jobs vs Yr (BAU)'!E73</f>
        <v>8519.0023683484105</v>
      </c>
      <c r="F178" s="339">
        <f>'Output - Jobs vs Yr (BAU)'!F73</f>
        <v>8842.2504632460441</v>
      </c>
      <c r="G178" s="339">
        <f>'Output - Jobs vs Yr (BAU)'!G73</f>
        <v>8514.1557084196338</v>
      </c>
      <c r="H178" s="410">
        <f>'Output - Jobs vs Yr (BAU)'!H73</f>
        <v>8589.5680516836546</v>
      </c>
      <c r="I178" s="19">
        <f>'Output - Jobs vs Yr (BAU)'!I73</f>
        <v>9043.7030005226334</v>
      </c>
      <c r="J178" s="19">
        <f>'Output - Jobs vs Yr (BAU)'!J73</f>
        <v>9385.3696794613861</v>
      </c>
      <c r="K178" s="19">
        <f>'Output - Jobs vs Yr (BAU)'!K73</f>
        <v>9630.8981024600216</v>
      </c>
      <c r="L178" s="19">
        <f>'Output - Jobs vs Yr (BAU)'!L73</f>
        <v>9612.3102822414603</v>
      </c>
      <c r="M178" s="19">
        <f>'Output - Jobs vs Yr (BAU)'!M73</f>
        <v>9749.3110302622772</v>
      </c>
      <c r="N178" s="183">
        <f>'Output - Jobs vs Yr (BAU)'!N73</f>
        <v>10114.403887351466</v>
      </c>
      <c r="O178" s="19">
        <f>'Output - Jobs vs Yr (BAU)'!O73</f>
        <v>10417.123047452989</v>
      </c>
      <c r="P178" s="19">
        <f>'Output - Jobs vs Yr (BAU)'!P73</f>
        <v>10676.246695040782</v>
      </c>
      <c r="Q178" s="19">
        <f>'Output - Jobs vs Yr (BAU)'!Q73</f>
        <v>10782.139199583211</v>
      </c>
      <c r="R178" s="19">
        <f>'Output - Jobs vs Yr (BAU)'!R73</f>
        <v>11002.408855774525</v>
      </c>
      <c r="S178" s="19">
        <f>'Output - Jobs vs Yr (BAU)'!S73</f>
        <v>11135.756242102669</v>
      </c>
      <c r="T178" s="19">
        <f>'Output - Jobs vs Yr (BAU)'!T73</f>
        <v>11215.515376708627</v>
      </c>
      <c r="U178" s="19">
        <f>'Output - Jobs vs Yr (BAU)'!U73</f>
        <v>11556.819701132377</v>
      </c>
      <c r="V178" s="19">
        <f>'Output - Jobs vs Yr (BAU)'!V73</f>
        <v>11668.319901330882</v>
      </c>
      <c r="W178" s="19">
        <f>'Output - Jobs vs Yr (BAU)'!W73</f>
        <v>11885.061671910598</v>
      </c>
      <c r="X178" s="183">
        <f>'Output - Jobs vs Yr (BAU)'!X73</f>
        <v>12043.745610662838</v>
      </c>
      <c r="Y178" s="207">
        <f>'Output - Jobs vs Yr (BAU)'!Y73</f>
        <v>12026.856978222975</v>
      </c>
      <c r="Z178" s="207">
        <f>'Output - Jobs vs Yr (BAU)'!Z73</f>
        <v>12075.156681509277</v>
      </c>
      <c r="AA178" s="207">
        <f>'Output - Jobs vs Yr (BAU)'!AA73</f>
        <v>12182.950140939212</v>
      </c>
      <c r="AB178" s="207">
        <f>'Output - Jobs vs Yr (BAU)'!AB73</f>
        <v>12363.295588702807</v>
      </c>
      <c r="AC178" s="207">
        <f>'Output - Jobs vs Yr (BAU)'!AC73</f>
        <v>12405.556830156045</v>
      </c>
      <c r="AD178" s="207">
        <f>'Output - Jobs vs Yr (BAU)'!AD73</f>
        <v>12503.534713824805</v>
      </c>
      <c r="AE178" s="207">
        <f>'Output - Jobs vs Yr (BAU)'!AE73</f>
        <v>12604.338289405383</v>
      </c>
      <c r="AF178" s="207">
        <f>'Output - Jobs vs Yr (BAU)'!AF73</f>
        <v>12670.267533685324</v>
      </c>
      <c r="AG178" s="207">
        <f>'Output - Jobs vs Yr (BAU)'!AG73</f>
        <v>12942.037858747695</v>
      </c>
      <c r="AH178" s="183">
        <f>'Output - Jobs vs Yr (BAU)'!AH73</f>
        <v>13152.800830229035</v>
      </c>
      <c r="AI178" s="80" t="s">
        <v>0</v>
      </c>
    </row>
    <row r="179" spans="1:35">
      <c r="A179" s="75" t="s">
        <v>298</v>
      </c>
      <c r="C179" s="336">
        <f>SUM(C118,C145)</f>
        <v>16708.602010000002</v>
      </c>
      <c r="D179" s="336">
        <f t="shared" ref="D179:AH179" si="96">SUM(D118,D145)+D249+D252</f>
        <v>17450.968363531611</v>
      </c>
      <c r="E179" s="336">
        <f t="shared" si="96"/>
        <v>18228.612017525349</v>
      </c>
      <c r="F179" s="336">
        <f t="shared" si="96"/>
        <v>19054.729690661952</v>
      </c>
      <c r="G179" s="336">
        <f t="shared" si="96"/>
        <v>18408.436824624099</v>
      </c>
      <c r="H179" s="408">
        <f>SUM(H118,H145)+H249+H252</f>
        <v>18103.73053520668</v>
      </c>
      <c r="I179" s="14">
        <f t="shared" si="96"/>
        <v>19443.515729744944</v>
      </c>
      <c r="J179" s="14">
        <f t="shared" si="96"/>
        <v>20179.361733161182</v>
      </c>
      <c r="K179" s="14">
        <f t="shared" si="96"/>
        <v>20923.916467561299</v>
      </c>
      <c r="L179" s="14">
        <f t="shared" si="96"/>
        <v>20938.930741538283</v>
      </c>
      <c r="M179" s="14">
        <f t="shared" si="96"/>
        <v>21312.32838835007</v>
      </c>
      <c r="N179" s="188">
        <f t="shared" si="96"/>
        <v>22207.719816358065</v>
      </c>
      <c r="O179" s="14">
        <f t="shared" si="96"/>
        <v>22640.158532922138</v>
      </c>
      <c r="P179" s="14">
        <f t="shared" si="96"/>
        <v>23321.660250114466</v>
      </c>
      <c r="Q179" s="14">
        <f t="shared" si="96"/>
        <v>23595.495547716811</v>
      </c>
      <c r="R179" s="14">
        <f t="shared" si="96"/>
        <v>24214.850183726441</v>
      </c>
      <c r="S179" s="14">
        <f t="shared" si="96"/>
        <v>24618.873012590957</v>
      </c>
      <c r="T179" s="14">
        <f t="shared" si="96"/>
        <v>24909.831789178257</v>
      </c>
      <c r="U179" s="14">
        <f t="shared" si="96"/>
        <v>25891.043633607667</v>
      </c>
      <c r="V179" s="14">
        <f t="shared" si="96"/>
        <v>26280.833333378621</v>
      </c>
      <c r="W179" s="14">
        <f t="shared" si="96"/>
        <v>26962.928181231309</v>
      </c>
      <c r="X179" s="188">
        <f t="shared" si="96"/>
        <v>27534.021210697647</v>
      </c>
      <c r="Y179" s="159">
        <f t="shared" si="96"/>
        <v>27494.647170156568</v>
      </c>
      <c r="Z179" s="159">
        <f t="shared" si="96"/>
        <v>27622.329968324735</v>
      </c>
      <c r="AA179" s="159">
        <f t="shared" si="96"/>
        <v>27889.690296854988</v>
      </c>
      <c r="AB179" s="159">
        <f t="shared" si="96"/>
        <v>28355.280540564767</v>
      </c>
      <c r="AC179" s="159">
        <f t="shared" si="96"/>
        <v>28473.46848814933</v>
      </c>
      <c r="AD179" s="159">
        <f t="shared" si="96"/>
        <v>28727.785502967701</v>
      </c>
      <c r="AE179" s="159">
        <f t="shared" si="96"/>
        <v>29046.411295487971</v>
      </c>
      <c r="AF179" s="159">
        <f t="shared" si="96"/>
        <v>29360.480067082848</v>
      </c>
      <c r="AG179" s="159">
        <f t="shared" si="96"/>
        <v>30159.744382528792</v>
      </c>
      <c r="AH179" s="188">
        <f t="shared" si="96"/>
        <v>30803.305857530228</v>
      </c>
    </row>
    <row r="180" spans="1:35">
      <c r="A180" s="76" t="s">
        <v>302</v>
      </c>
      <c r="C180" s="336">
        <f>C118</f>
        <v>8794.0012000000024</v>
      </c>
      <c r="D180" s="336">
        <f t="shared" ref="D180:AH180" si="97">D118+D250+D253</f>
        <v>9184.7203488886844</v>
      </c>
      <c r="E180" s="336">
        <f t="shared" si="97"/>
        <v>9594.0064966983482</v>
      </c>
      <c r="F180" s="336">
        <f t="shared" si="97"/>
        <v>10028.805289860002</v>
      </c>
      <c r="G180" s="336">
        <f t="shared" si="97"/>
        <v>9688.6511545647736</v>
      </c>
      <c r="H180" s="408">
        <f t="shared" si="97"/>
        <v>9528.2793711614104</v>
      </c>
      <c r="I180" s="14">
        <f t="shared" si="97"/>
        <v>10233.429492875537</v>
      </c>
      <c r="J180" s="14">
        <f t="shared" si="97"/>
        <v>10620.716878722862</v>
      </c>
      <c r="K180" s="14">
        <f t="shared" si="97"/>
        <v>11012.587808474118</v>
      </c>
      <c r="L180" s="14">
        <f t="shared" si="97"/>
        <v>11020.49006878919</v>
      </c>
      <c r="M180" s="14">
        <f t="shared" si="97"/>
        <v>11217.015160824969</v>
      </c>
      <c r="N180" s="188">
        <f t="shared" si="97"/>
        <v>11688.273828100844</v>
      </c>
      <c r="O180" s="14">
        <f t="shared" si="97"/>
        <v>11915.873170071169</v>
      </c>
      <c r="P180" s="14">
        <f t="shared" si="97"/>
        <v>12274.558305897337</v>
      </c>
      <c r="Q180" s="14">
        <f t="shared" si="97"/>
        <v>12418.68216462344</v>
      </c>
      <c r="R180" s="14">
        <f t="shared" si="97"/>
        <v>12744.658312296331</v>
      </c>
      <c r="S180" s="14">
        <f t="shared" si="97"/>
        <v>12957.301928282523</v>
      </c>
      <c r="T180" s="14">
        <f t="shared" si="97"/>
        <v>13110.438147824407</v>
      </c>
      <c r="U180" s="14">
        <f t="shared" si="97"/>
        <v>13626.865467634994</v>
      </c>
      <c r="V180" s="14">
        <f t="shared" si="97"/>
        <v>13832.017967384643</v>
      </c>
      <c r="W180" s="14">
        <f t="shared" si="97"/>
        <v>14191.015288440303</v>
      </c>
      <c r="X180" s="188">
        <f t="shared" si="97"/>
        <v>14491.590599925401</v>
      </c>
      <c r="Y180" s="159">
        <f t="shared" si="97"/>
        <v>14470.867420331264</v>
      </c>
      <c r="Z180" s="159">
        <f t="shared" si="97"/>
        <v>14538.068895654989</v>
      </c>
      <c r="AA180" s="159">
        <f t="shared" si="97"/>
        <v>14678.784863087076</v>
      </c>
      <c r="AB180" s="159">
        <f t="shared" si="97"/>
        <v>14923.832368402649</v>
      </c>
      <c r="AC180" s="159">
        <f t="shared" si="97"/>
        <v>14986.036553801938</v>
      </c>
      <c r="AD180" s="159">
        <f t="shared" si="97"/>
        <v>15119.887619120811</v>
      </c>
      <c r="AE180" s="159">
        <f t="shared" si="97"/>
        <v>15287.585410715841</v>
      </c>
      <c r="AF180" s="159">
        <f t="shared" si="97"/>
        <v>15452.884770167344</v>
      </c>
      <c r="AG180" s="159">
        <f t="shared" si="97"/>
        <v>15873.550213989463</v>
      </c>
      <c r="AH180" s="188">
        <f t="shared" si="97"/>
        <v>16212.266791655711</v>
      </c>
    </row>
    <row r="181" spans="1:35">
      <c r="A181" s="76" t="s">
        <v>303</v>
      </c>
      <c r="C181" s="336">
        <f>C145</f>
        <v>7914.6008100000017</v>
      </c>
      <c r="D181" s="336">
        <f t="shared" ref="D181:AH181" si="98">D145+D251+D254</f>
        <v>8266.2480146429261</v>
      </c>
      <c r="E181" s="336">
        <f t="shared" si="98"/>
        <v>8634.6055208270009</v>
      </c>
      <c r="F181" s="336">
        <f t="shared" si="98"/>
        <v>9025.9244008019487</v>
      </c>
      <c r="G181" s="336">
        <f t="shared" si="98"/>
        <v>8719.7856700593238</v>
      </c>
      <c r="H181" s="408">
        <f>H145+H251+H254</f>
        <v>8575.4511640452693</v>
      </c>
      <c r="I181" s="14">
        <f t="shared" si="98"/>
        <v>9210.086236869407</v>
      </c>
      <c r="J181" s="14">
        <f t="shared" si="98"/>
        <v>9558.644854438322</v>
      </c>
      <c r="K181" s="14">
        <f t="shared" si="98"/>
        <v>9911.328659087183</v>
      </c>
      <c r="L181" s="14">
        <f t="shared" si="98"/>
        <v>9918.4406727490932</v>
      </c>
      <c r="M181" s="14">
        <f t="shared" si="98"/>
        <v>10095.313227525101</v>
      </c>
      <c r="N181" s="188">
        <f t="shared" si="98"/>
        <v>10519.445988257221</v>
      </c>
      <c r="O181" s="14">
        <f t="shared" si="98"/>
        <v>10724.285362850969</v>
      </c>
      <c r="P181" s="14">
        <f t="shared" si="98"/>
        <v>11047.101944217127</v>
      </c>
      <c r="Q181" s="14">
        <f t="shared" si="98"/>
        <v>11176.813383093373</v>
      </c>
      <c r="R181" s="14">
        <f t="shared" si="98"/>
        <v>11470.191871430108</v>
      </c>
      <c r="S181" s="14">
        <f t="shared" si="98"/>
        <v>11661.571084308434</v>
      </c>
      <c r="T181" s="14">
        <f t="shared" si="98"/>
        <v>11799.393641353852</v>
      </c>
      <c r="U181" s="14">
        <f t="shared" si="98"/>
        <v>12264.178165972671</v>
      </c>
      <c r="V181" s="14">
        <f t="shared" si="98"/>
        <v>12448.815365993978</v>
      </c>
      <c r="W181" s="14">
        <f t="shared" si="98"/>
        <v>12771.912892791006</v>
      </c>
      <c r="X181" s="188">
        <f t="shared" si="98"/>
        <v>13042.430610772244</v>
      </c>
      <c r="Y181" s="159">
        <f t="shared" si="98"/>
        <v>13023.779749825304</v>
      </c>
      <c r="Z181" s="159">
        <f t="shared" si="98"/>
        <v>13084.261072669746</v>
      </c>
      <c r="AA181" s="159">
        <f t="shared" si="98"/>
        <v>13210.905433767912</v>
      </c>
      <c r="AB181" s="159">
        <f t="shared" si="98"/>
        <v>13431.448172162116</v>
      </c>
      <c r="AC181" s="159">
        <f t="shared" si="98"/>
        <v>13487.431934347391</v>
      </c>
      <c r="AD181" s="159">
        <f t="shared" si="98"/>
        <v>13607.897883846888</v>
      </c>
      <c r="AE181" s="159">
        <f t="shared" si="98"/>
        <v>13758.82588477213</v>
      </c>
      <c r="AF181" s="159">
        <f t="shared" si="98"/>
        <v>13907.595296915502</v>
      </c>
      <c r="AG181" s="159">
        <f t="shared" si="98"/>
        <v>14286.19416853933</v>
      </c>
      <c r="AH181" s="188">
        <f t="shared" si="98"/>
        <v>14591.039065874518</v>
      </c>
      <c r="AI181" s="31" t="s">
        <v>0</v>
      </c>
    </row>
    <row r="182" spans="1:35" s="1" customFormat="1">
      <c r="A182" s="75" t="s">
        <v>304</v>
      </c>
      <c r="B182" s="13"/>
      <c r="C182" s="346" t="s">
        <v>0</v>
      </c>
      <c r="D182" s="346">
        <f t="shared" ref="D182:AH182" si="99">D179-D176</f>
        <v>292.82608353161049</v>
      </c>
      <c r="E182" s="346">
        <f t="shared" si="99"/>
        <v>244.05146212314867</v>
      </c>
      <c r="F182" s="346">
        <f t="shared" si="99"/>
        <v>387.75649047586194</v>
      </c>
      <c r="G182" s="346">
        <f t="shared" si="99"/>
        <v>434.10810684931494</v>
      </c>
      <c r="H182" s="411">
        <f>H179-H176</f>
        <v>-29.802018347705598</v>
      </c>
      <c r="I182" s="15">
        <f t="shared" si="99"/>
        <v>351.25383975272052</v>
      </c>
      <c r="J182" s="15">
        <f t="shared" si="99"/>
        <v>365.80352096492061</v>
      </c>
      <c r="K182" s="15">
        <f t="shared" si="99"/>
        <v>592.02047347903135</v>
      </c>
      <c r="L182" s="15">
        <f t="shared" si="99"/>
        <v>646.27570125075363</v>
      </c>
      <c r="M182" s="15">
        <f t="shared" si="99"/>
        <v>730.44954668526043</v>
      </c>
      <c r="N182" s="191">
        <f t="shared" si="99"/>
        <v>855.08938750496964</v>
      </c>
      <c r="O182" s="15">
        <f t="shared" si="99"/>
        <v>648.45432163249279</v>
      </c>
      <c r="P182" s="15">
        <f t="shared" si="99"/>
        <v>782.91722725059662</v>
      </c>
      <c r="Q182" s="15">
        <f t="shared" si="99"/>
        <v>833.20168193003337</v>
      </c>
      <c r="R182" s="15">
        <f t="shared" si="99"/>
        <v>987.54259931355773</v>
      </c>
      <c r="S182" s="15">
        <f t="shared" si="99"/>
        <v>1110.0542792631022</v>
      </c>
      <c r="T182" s="15">
        <f t="shared" si="99"/>
        <v>1232.6326605711583</v>
      </c>
      <c r="U182" s="15">
        <f t="shared" si="99"/>
        <v>1493.3131534393178</v>
      </c>
      <c r="V182" s="15">
        <f t="shared" si="99"/>
        <v>1647.713541680092</v>
      </c>
      <c r="W182" s="15">
        <f t="shared" si="99"/>
        <v>1872.2424294200464</v>
      </c>
      <c r="X182" s="191">
        <f t="shared" si="99"/>
        <v>2108.3360326316542</v>
      </c>
      <c r="Y182" s="131">
        <f t="shared" si="99"/>
        <v>2104.6157716858434</v>
      </c>
      <c r="Z182" s="131">
        <f t="shared" si="99"/>
        <v>2130.3325295829309</v>
      </c>
      <c r="AA182" s="131">
        <f t="shared" si="99"/>
        <v>2170.1288882055414</v>
      </c>
      <c r="AB182" s="131">
        <f t="shared" si="99"/>
        <v>2254.9898533032829</v>
      </c>
      <c r="AC182" s="131">
        <f t="shared" si="99"/>
        <v>2283.9596244865679</v>
      </c>
      <c r="AD182" s="131">
        <f t="shared" si="99"/>
        <v>2331.4344404486692</v>
      </c>
      <c r="AE182" s="131">
        <f t="shared" si="99"/>
        <v>2437.2526845210523</v>
      </c>
      <c r="AF182" s="131">
        <f t="shared" si="99"/>
        <v>2612.1374959693858</v>
      </c>
      <c r="AG182" s="131">
        <f t="shared" si="99"/>
        <v>2837.6644585058784</v>
      </c>
      <c r="AH182" s="191">
        <f t="shared" si="99"/>
        <v>3036.2818826022631</v>
      </c>
    </row>
    <row r="183" spans="1:35" s="20" customFormat="1">
      <c r="A183" s="20" t="s">
        <v>305</v>
      </c>
      <c r="B183" s="33"/>
      <c r="C183" s="339" t="s">
        <v>0</v>
      </c>
      <c r="D183" s="339">
        <f t="shared" ref="D183:AH183" si="100">D180-D177</f>
        <v>154.11914888868341</v>
      </c>
      <c r="E183" s="339">
        <f t="shared" si="100"/>
        <v>128.44830964455832</v>
      </c>
      <c r="F183" s="339">
        <f t="shared" si="100"/>
        <v>204.08255291995374</v>
      </c>
      <c r="G183" s="339">
        <f t="shared" si="100"/>
        <v>228.47814520962493</v>
      </c>
      <c r="H183" s="410">
        <f>H180-H177</f>
        <v>-15.685130709320219</v>
      </c>
      <c r="I183" s="19">
        <f t="shared" si="100"/>
        <v>184.87060340594508</v>
      </c>
      <c r="J183" s="19">
        <f t="shared" si="100"/>
        <v>192.52834598798654</v>
      </c>
      <c r="K183" s="19">
        <f t="shared" si="100"/>
        <v>311.58991685186993</v>
      </c>
      <c r="L183" s="19">
        <f t="shared" si="100"/>
        <v>340.14531074312072</v>
      </c>
      <c r="M183" s="19">
        <f t="shared" si="100"/>
        <v>384.44734942243667</v>
      </c>
      <c r="N183" s="183">
        <f t="shared" si="100"/>
        <v>450.0472865992142</v>
      </c>
      <c r="O183" s="19">
        <f t="shared" si="100"/>
        <v>341.2920062345147</v>
      </c>
      <c r="P183" s="19">
        <f t="shared" si="100"/>
        <v>412.06197807424724</v>
      </c>
      <c r="Q183" s="19">
        <f t="shared" si="100"/>
        <v>438.52749841987315</v>
      </c>
      <c r="R183" s="19">
        <f t="shared" si="100"/>
        <v>519.75958365797123</v>
      </c>
      <c r="S183" s="19">
        <f t="shared" si="100"/>
        <v>584.23943705733473</v>
      </c>
      <c r="T183" s="19">
        <f t="shared" si="100"/>
        <v>648.75439592593284</v>
      </c>
      <c r="U183" s="19">
        <f t="shared" si="100"/>
        <v>785.9546885990203</v>
      </c>
      <c r="V183" s="19">
        <f t="shared" si="100"/>
        <v>867.21807701699618</v>
      </c>
      <c r="W183" s="19">
        <f t="shared" si="100"/>
        <v>985.39120853963868</v>
      </c>
      <c r="X183" s="183">
        <f t="shared" si="100"/>
        <v>1109.6510325222462</v>
      </c>
      <c r="Y183" s="207">
        <f t="shared" si="100"/>
        <v>1107.6930000835146</v>
      </c>
      <c r="Z183" s="207">
        <f t="shared" si="100"/>
        <v>1121.2281384224607</v>
      </c>
      <c r="AA183" s="207">
        <f t="shared" si="100"/>
        <v>1142.1735953768402</v>
      </c>
      <c r="AB183" s="207">
        <f t="shared" si="100"/>
        <v>1186.8372698439725</v>
      </c>
      <c r="AC183" s="207">
        <f t="shared" si="100"/>
        <v>1202.0845202952205</v>
      </c>
      <c r="AD183" s="207">
        <f t="shared" si="100"/>
        <v>1227.0712704265825</v>
      </c>
      <c r="AE183" s="207">
        <f t="shared" si="100"/>
        <v>1282.7650891543053</v>
      </c>
      <c r="AF183" s="207">
        <f t="shared" si="100"/>
        <v>1374.8097327392061</v>
      </c>
      <c r="AG183" s="207">
        <f t="shared" si="100"/>
        <v>1493.5081487142452</v>
      </c>
      <c r="AH183" s="183">
        <f t="shared" si="100"/>
        <v>1598.043646956783</v>
      </c>
    </row>
    <row r="184" spans="1:35" s="20" customFormat="1">
      <c r="A184" s="20" t="s">
        <v>306</v>
      </c>
      <c r="B184" s="33"/>
      <c r="C184" s="339" t="s">
        <v>0</v>
      </c>
      <c r="D184" s="339">
        <f t="shared" ref="D184:AH184" si="101">D181-D178</f>
        <v>138.70693464292526</v>
      </c>
      <c r="E184" s="339">
        <f t="shared" si="101"/>
        <v>115.60315247859035</v>
      </c>
      <c r="F184" s="339">
        <f t="shared" si="101"/>
        <v>183.67393755590456</v>
      </c>
      <c r="G184" s="339">
        <f t="shared" si="101"/>
        <v>205.62996163969001</v>
      </c>
      <c r="H184" s="410">
        <f t="shared" si="101"/>
        <v>-14.116887638385379</v>
      </c>
      <c r="I184" s="19">
        <f t="shared" si="101"/>
        <v>166.38323634677363</v>
      </c>
      <c r="J184" s="19">
        <f t="shared" si="101"/>
        <v>173.27517497693589</v>
      </c>
      <c r="K184" s="19">
        <f t="shared" si="101"/>
        <v>280.43055662716142</v>
      </c>
      <c r="L184" s="19">
        <f t="shared" si="101"/>
        <v>306.13039050763291</v>
      </c>
      <c r="M184" s="19">
        <f t="shared" si="101"/>
        <v>346.00219726282376</v>
      </c>
      <c r="N184" s="183">
        <f t="shared" si="101"/>
        <v>405.04210090575543</v>
      </c>
      <c r="O184" s="19">
        <f t="shared" si="101"/>
        <v>307.16231539797991</v>
      </c>
      <c r="P184" s="19">
        <f t="shared" si="101"/>
        <v>370.85524917634575</v>
      </c>
      <c r="Q184" s="19">
        <f t="shared" si="101"/>
        <v>394.67418351016204</v>
      </c>
      <c r="R184" s="19">
        <f t="shared" si="101"/>
        <v>467.78301565558286</v>
      </c>
      <c r="S184" s="19">
        <f t="shared" si="101"/>
        <v>525.81484220576567</v>
      </c>
      <c r="T184" s="19">
        <f t="shared" si="101"/>
        <v>583.8782646452255</v>
      </c>
      <c r="U184" s="19">
        <f t="shared" si="101"/>
        <v>707.35846484029389</v>
      </c>
      <c r="V184" s="19">
        <f t="shared" si="101"/>
        <v>780.49546466309585</v>
      </c>
      <c r="W184" s="19">
        <f t="shared" si="101"/>
        <v>886.85122088040771</v>
      </c>
      <c r="X184" s="183">
        <f t="shared" si="101"/>
        <v>998.68500010940625</v>
      </c>
      <c r="Y184" s="207">
        <f t="shared" si="101"/>
        <v>996.92277160232879</v>
      </c>
      <c r="Z184" s="207">
        <f t="shared" si="101"/>
        <v>1009.1043911604684</v>
      </c>
      <c r="AA184" s="207">
        <f t="shared" si="101"/>
        <v>1027.9552928286994</v>
      </c>
      <c r="AB184" s="207">
        <f t="shared" si="101"/>
        <v>1068.1525834593085</v>
      </c>
      <c r="AC184" s="207">
        <f t="shared" si="101"/>
        <v>1081.8751041913456</v>
      </c>
      <c r="AD184" s="207">
        <f t="shared" si="101"/>
        <v>1104.3631700220831</v>
      </c>
      <c r="AE184" s="207">
        <f t="shared" si="101"/>
        <v>1154.487595366747</v>
      </c>
      <c r="AF184" s="207">
        <f t="shared" si="101"/>
        <v>1237.3277632301779</v>
      </c>
      <c r="AG184" s="207">
        <f t="shared" si="101"/>
        <v>1344.1563097916351</v>
      </c>
      <c r="AH184" s="183">
        <f t="shared" si="101"/>
        <v>1438.2382356454837</v>
      </c>
    </row>
    <row r="185" spans="1:35" s="1" customFormat="1">
      <c r="A185" s="1" t="s">
        <v>450</v>
      </c>
      <c r="B185" s="13"/>
      <c r="C185" s="346"/>
      <c r="D185" s="346">
        <f>D182</f>
        <v>292.82608353161049</v>
      </c>
      <c r="E185" s="346">
        <f>D185+E182</f>
        <v>536.87754565475916</v>
      </c>
      <c r="F185" s="346">
        <f t="shared" ref="E185:N187" si="102">E185+F182</f>
        <v>924.6340361306211</v>
      </c>
      <c r="G185" s="346">
        <f t="shared" si="102"/>
        <v>1358.742142979936</v>
      </c>
      <c r="H185" s="411">
        <f>H182</f>
        <v>-29.802018347705598</v>
      </c>
      <c r="I185" s="15">
        <f t="shared" si="102"/>
        <v>321.45182140501493</v>
      </c>
      <c r="J185" s="15">
        <f t="shared" si="102"/>
        <v>687.25534236993553</v>
      </c>
      <c r="K185" s="15">
        <f t="shared" si="102"/>
        <v>1279.2758158489669</v>
      </c>
      <c r="L185" s="15">
        <f t="shared" si="102"/>
        <v>1925.5515170997205</v>
      </c>
      <c r="M185" s="15">
        <f t="shared" si="102"/>
        <v>2656.0010637849809</v>
      </c>
      <c r="N185" s="15">
        <f t="shared" si="102"/>
        <v>3511.0904512899506</v>
      </c>
      <c r="O185" s="15">
        <f t="shared" ref="O185:X185" si="103">N185+O182</f>
        <v>4159.5447729224434</v>
      </c>
      <c r="P185" s="15">
        <f t="shared" si="103"/>
        <v>4942.46200017304</v>
      </c>
      <c r="Q185" s="15">
        <f t="shared" si="103"/>
        <v>5775.6636821030734</v>
      </c>
      <c r="R185" s="15">
        <f t="shared" si="103"/>
        <v>6763.2062814166311</v>
      </c>
      <c r="S185" s="131">
        <f t="shared" si="103"/>
        <v>7873.2605606797333</v>
      </c>
      <c r="T185" s="15">
        <f t="shared" si="103"/>
        <v>9105.8932212508917</v>
      </c>
      <c r="U185" s="15">
        <f t="shared" si="103"/>
        <v>10599.206374690209</v>
      </c>
      <c r="V185" s="15">
        <f t="shared" si="103"/>
        <v>12246.919916370302</v>
      </c>
      <c r="W185" s="15">
        <f t="shared" si="103"/>
        <v>14119.162345790348</v>
      </c>
      <c r="X185" s="191">
        <f t="shared" si="103"/>
        <v>16227.498378422002</v>
      </c>
      <c r="Y185" s="131">
        <f t="shared" ref="Y185:AH185" si="104">X185+Y182</f>
        <v>18332.114150107845</v>
      </c>
      <c r="Z185" s="131">
        <f t="shared" si="104"/>
        <v>20462.446679690776</v>
      </c>
      <c r="AA185" s="131">
        <f t="shared" si="104"/>
        <v>22632.575567896318</v>
      </c>
      <c r="AB185" s="131">
        <f t="shared" si="104"/>
        <v>24887.565421199601</v>
      </c>
      <c r="AC185" s="131">
        <f t="shared" si="104"/>
        <v>27171.525045686169</v>
      </c>
      <c r="AD185" s="131">
        <f t="shared" si="104"/>
        <v>29502.959486134838</v>
      </c>
      <c r="AE185" s="131">
        <f t="shared" si="104"/>
        <v>31940.21217065589</v>
      </c>
      <c r="AF185" s="131">
        <f t="shared" si="104"/>
        <v>34552.349666625276</v>
      </c>
      <c r="AG185" s="131">
        <f t="shared" si="104"/>
        <v>37390.014125131158</v>
      </c>
      <c r="AH185" s="191">
        <f t="shared" si="104"/>
        <v>40426.296007733421</v>
      </c>
    </row>
    <row r="186" spans="1:35" s="20" customFormat="1">
      <c r="A186" s="20" t="s">
        <v>451</v>
      </c>
      <c r="B186" s="33"/>
      <c r="C186" s="339"/>
      <c r="D186" s="339">
        <f>D183</f>
        <v>154.11914888868341</v>
      </c>
      <c r="E186" s="339">
        <f t="shared" si="102"/>
        <v>282.56745853324173</v>
      </c>
      <c r="F186" s="339">
        <f t="shared" si="102"/>
        <v>486.65001145319548</v>
      </c>
      <c r="G186" s="339">
        <f t="shared" si="102"/>
        <v>715.1281566628204</v>
      </c>
      <c r="H186" s="410">
        <f t="shared" si="102"/>
        <v>699.44302595350018</v>
      </c>
      <c r="I186" s="19">
        <f t="shared" ref="I186:X186" si="105">H186+I183</f>
        <v>884.31362935944526</v>
      </c>
      <c r="J186" s="19">
        <f t="shared" si="105"/>
        <v>1076.8419753474318</v>
      </c>
      <c r="K186" s="19">
        <f t="shared" si="105"/>
        <v>1388.4318921993017</v>
      </c>
      <c r="L186" s="19">
        <f t="shared" si="105"/>
        <v>1728.5772029424224</v>
      </c>
      <c r="M186" s="19">
        <f t="shared" si="105"/>
        <v>2113.0245523648591</v>
      </c>
      <c r="N186" s="183">
        <f t="shared" si="105"/>
        <v>2563.0718389640733</v>
      </c>
      <c r="O186" s="19">
        <f t="shared" si="105"/>
        <v>2904.363845198588</v>
      </c>
      <c r="P186" s="19">
        <f t="shared" si="105"/>
        <v>3316.4258232728353</v>
      </c>
      <c r="Q186" s="19">
        <f t="shared" si="105"/>
        <v>3754.9533216927084</v>
      </c>
      <c r="R186" s="19">
        <f t="shared" si="105"/>
        <v>4274.7129053506796</v>
      </c>
      <c r="S186" s="207">
        <f t="shared" si="105"/>
        <v>4858.9523424080144</v>
      </c>
      <c r="T186" s="19">
        <f t="shared" si="105"/>
        <v>5507.7067383339472</v>
      </c>
      <c r="U186" s="19">
        <f t="shared" si="105"/>
        <v>6293.6614269329675</v>
      </c>
      <c r="V186" s="19">
        <f t="shared" si="105"/>
        <v>7160.8795039499637</v>
      </c>
      <c r="W186" s="19">
        <f t="shared" si="105"/>
        <v>8146.2707124896024</v>
      </c>
      <c r="X186" s="183">
        <f t="shared" si="105"/>
        <v>9255.9217450118485</v>
      </c>
      <c r="Y186" s="207">
        <f t="shared" ref="Y186:AH186" si="106">X186+Y183</f>
        <v>10363.614745095363</v>
      </c>
      <c r="Z186" s="207">
        <f t="shared" si="106"/>
        <v>11484.842883517824</v>
      </c>
      <c r="AA186" s="207">
        <f t="shared" si="106"/>
        <v>12627.016478894664</v>
      </c>
      <c r="AB186" s="207">
        <f t="shared" si="106"/>
        <v>13813.853748738637</v>
      </c>
      <c r="AC186" s="207">
        <f t="shared" si="106"/>
        <v>15015.938269033857</v>
      </c>
      <c r="AD186" s="207">
        <f t="shared" si="106"/>
        <v>16243.00953946044</v>
      </c>
      <c r="AE186" s="207">
        <f t="shared" si="106"/>
        <v>17525.774628614745</v>
      </c>
      <c r="AF186" s="207">
        <f t="shared" si="106"/>
        <v>18900.584361353951</v>
      </c>
      <c r="AG186" s="207">
        <f t="shared" si="106"/>
        <v>20394.092510068196</v>
      </c>
      <c r="AH186" s="183">
        <f t="shared" si="106"/>
        <v>21992.136157024979</v>
      </c>
    </row>
    <row r="187" spans="1:35" s="20" customFormat="1">
      <c r="A187" s="20" t="s">
        <v>452</v>
      </c>
      <c r="B187" s="33"/>
      <c r="C187" s="339"/>
      <c r="D187" s="339">
        <f>D184</f>
        <v>138.70693464292526</v>
      </c>
      <c r="E187" s="339">
        <f t="shared" si="102"/>
        <v>254.31008712151561</v>
      </c>
      <c r="F187" s="339">
        <f t="shared" si="102"/>
        <v>437.98402467742017</v>
      </c>
      <c r="G187" s="339">
        <f t="shared" si="102"/>
        <v>643.61398631711018</v>
      </c>
      <c r="H187" s="410">
        <f t="shared" si="102"/>
        <v>629.4970986787248</v>
      </c>
      <c r="I187" s="19">
        <f t="shared" ref="I187:X187" si="107">H187+I184</f>
        <v>795.88033502549843</v>
      </c>
      <c r="J187" s="19">
        <f t="shared" si="107"/>
        <v>969.15551000243431</v>
      </c>
      <c r="K187" s="19">
        <f t="shared" si="107"/>
        <v>1249.5860666295957</v>
      </c>
      <c r="L187" s="19">
        <f t="shared" si="107"/>
        <v>1555.7164571372286</v>
      </c>
      <c r="M187" s="19">
        <f t="shared" si="107"/>
        <v>1901.7186544000524</v>
      </c>
      <c r="N187" s="183">
        <f t="shared" si="107"/>
        <v>2306.7607553058078</v>
      </c>
      <c r="O187" s="19">
        <f t="shared" si="107"/>
        <v>2613.9230707037877</v>
      </c>
      <c r="P187" s="19">
        <f t="shared" si="107"/>
        <v>2984.7783198801335</v>
      </c>
      <c r="Q187" s="19">
        <f t="shared" si="107"/>
        <v>3379.4525033902955</v>
      </c>
      <c r="R187" s="19">
        <f t="shared" si="107"/>
        <v>3847.2355190458784</v>
      </c>
      <c r="S187" s="207">
        <f t="shared" si="107"/>
        <v>4373.0503612516441</v>
      </c>
      <c r="T187" s="19">
        <f t="shared" si="107"/>
        <v>4956.9286258968696</v>
      </c>
      <c r="U187" s="19">
        <f t="shared" si="107"/>
        <v>5664.2870907371635</v>
      </c>
      <c r="V187" s="19">
        <f t="shared" si="107"/>
        <v>6444.7825554002593</v>
      </c>
      <c r="W187" s="19">
        <f t="shared" si="107"/>
        <v>7331.633776280667</v>
      </c>
      <c r="X187" s="183">
        <f t="shared" si="107"/>
        <v>8330.3187763900733</v>
      </c>
      <c r="Y187" s="207">
        <f t="shared" ref="Y187:AH187" si="108">X187+Y184</f>
        <v>9327.241547992402</v>
      </c>
      <c r="Z187" s="207">
        <f t="shared" si="108"/>
        <v>10336.34593915287</v>
      </c>
      <c r="AA187" s="207">
        <f t="shared" si="108"/>
        <v>11364.30123198157</v>
      </c>
      <c r="AB187" s="207">
        <f t="shared" si="108"/>
        <v>12432.453815440878</v>
      </c>
      <c r="AC187" s="207">
        <f t="shared" si="108"/>
        <v>13514.328919632224</v>
      </c>
      <c r="AD187" s="207">
        <f t="shared" si="108"/>
        <v>14618.692089654307</v>
      </c>
      <c r="AE187" s="207">
        <f t="shared" si="108"/>
        <v>15773.179685021054</v>
      </c>
      <c r="AF187" s="207">
        <f t="shared" si="108"/>
        <v>17010.507448251232</v>
      </c>
      <c r="AG187" s="207">
        <f t="shared" si="108"/>
        <v>18354.663758042865</v>
      </c>
      <c r="AH187" s="183">
        <f t="shared" si="108"/>
        <v>19792.901993688349</v>
      </c>
    </row>
    <row r="188" spans="1:35" s="292" customFormat="1">
      <c r="A188" s="292" t="s">
        <v>550</v>
      </c>
      <c r="B188" s="293"/>
      <c r="C188" s="346"/>
      <c r="D188" s="346"/>
      <c r="E188" s="346"/>
      <c r="F188" s="346"/>
      <c r="G188" s="346"/>
      <c r="H188" s="294"/>
      <c r="I188" s="294"/>
      <c r="J188" s="294"/>
      <c r="K188" s="294"/>
      <c r="L188" s="294"/>
      <c r="M188" s="294"/>
      <c r="N188" s="294"/>
      <c r="O188" s="294"/>
      <c r="P188" s="294"/>
      <c r="Q188" s="294"/>
      <c r="R188" s="294"/>
      <c r="S188" s="294"/>
      <c r="T188" s="294"/>
      <c r="U188" s="294"/>
      <c r="V188" s="294"/>
      <c r="W188" s="294"/>
      <c r="X188" s="377"/>
      <c r="Y188" s="295"/>
      <c r="Z188" s="295"/>
      <c r="AA188" s="295"/>
      <c r="AB188" s="295"/>
      <c r="AC188" s="295"/>
      <c r="AD188" s="295"/>
      <c r="AE188" s="295"/>
      <c r="AF188" s="295"/>
      <c r="AG188" s="295"/>
      <c r="AH188" s="377"/>
    </row>
    <row r="189" spans="1:35" s="1" customFormat="1">
      <c r="B189" s="13"/>
      <c r="C189" s="346"/>
      <c r="D189" s="346"/>
      <c r="E189" s="346"/>
      <c r="F189" s="346"/>
      <c r="G189" s="346"/>
      <c r="H189" s="411"/>
      <c r="I189" s="15" t="s">
        <v>0</v>
      </c>
      <c r="J189" s="15" t="s">
        <v>0</v>
      </c>
      <c r="K189" s="15" t="s">
        <v>0</v>
      </c>
      <c r="L189" s="15" t="s">
        <v>0</v>
      </c>
      <c r="M189" s="15" t="s">
        <v>0</v>
      </c>
      <c r="N189" s="15" t="s">
        <v>0</v>
      </c>
      <c r="O189" s="131"/>
      <c r="P189" s="131"/>
      <c r="Q189" s="131"/>
      <c r="R189" s="131"/>
      <c r="S189" s="159"/>
      <c r="T189" s="131"/>
      <c r="U189" s="15"/>
      <c r="V189" s="15"/>
      <c r="W189" s="15"/>
      <c r="X189" s="191"/>
      <c r="Y189"/>
      <c r="Z189"/>
      <c r="AA189"/>
      <c r="AB189"/>
      <c r="AC189"/>
      <c r="AD189"/>
      <c r="AE189"/>
      <c r="AF189"/>
      <c r="AG189"/>
      <c r="AH189" s="281"/>
    </row>
    <row r="190" spans="1:35" s="1" customFormat="1">
      <c r="A190" s="1" t="s">
        <v>412</v>
      </c>
      <c r="B190" s="13"/>
      <c r="C190" s="333"/>
      <c r="D190" s="333"/>
      <c r="E190" s="333"/>
      <c r="F190" s="333"/>
      <c r="G190" s="333"/>
      <c r="H190" s="406"/>
      <c r="I190" s="15" t="s">
        <v>0</v>
      </c>
      <c r="J190" s="13"/>
      <c r="K190" s="13"/>
      <c r="L190" s="13"/>
      <c r="M190" s="13"/>
      <c r="N190" s="192"/>
      <c r="O190" s="13"/>
      <c r="P190" s="13"/>
      <c r="Q190" s="13"/>
      <c r="R190" s="13"/>
      <c r="T190" s="13"/>
      <c r="U190" s="13"/>
      <c r="V190" s="13"/>
      <c r="W190" s="13"/>
      <c r="X190" s="177"/>
      <c r="Y190"/>
      <c r="Z190"/>
      <c r="AA190"/>
      <c r="AB190"/>
      <c r="AC190"/>
      <c r="AD190"/>
      <c r="AE190"/>
      <c r="AF190"/>
      <c r="AG190"/>
      <c r="AH190" s="281"/>
    </row>
    <row r="191" spans="1:35">
      <c r="A191" t="s">
        <v>406</v>
      </c>
      <c r="I191" s="112"/>
      <c r="J191" s="112"/>
      <c r="K191" s="112"/>
      <c r="L191" s="112"/>
      <c r="M191" s="132"/>
      <c r="N191" s="193"/>
      <c r="O191" s="132"/>
      <c r="P191" s="112"/>
      <c r="Q191" s="112"/>
      <c r="R191" s="132"/>
      <c r="S191" s="132"/>
      <c r="T191" s="132"/>
      <c r="U191" s="132"/>
      <c r="V191" s="112"/>
      <c r="W191" s="112"/>
    </row>
    <row r="192" spans="1:35">
      <c r="A192" t="s">
        <v>407</v>
      </c>
      <c r="I192" s="112"/>
      <c r="J192" s="112"/>
      <c r="K192" s="112"/>
      <c r="L192" s="112"/>
      <c r="M192" s="132"/>
      <c r="N192" s="193"/>
      <c r="O192" s="132"/>
      <c r="P192" s="112"/>
      <c r="Q192" s="112"/>
      <c r="R192" s="132"/>
      <c r="S192" s="132"/>
      <c r="T192" s="132"/>
      <c r="U192" s="132"/>
      <c r="V192" s="112"/>
      <c r="W192" s="112"/>
    </row>
    <row r="193" spans="1:34">
      <c r="A193" t="s">
        <v>408</v>
      </c>
      <c r="I193" s="112"/>
      <c r="J193" s="112"/>
      <c r="K193" s="112"/>
      <c r="L193" s="112"/>
      <c r="M193" s="132"/>
      <c r="N193" s="193"/>
      <c r="O193" s="132"/>
      <c r="P193" s="112"/>
      <c r="Q193" s="112"/>
      <c r="R193" s="132"/>
      <c r="S193" s="132"/>
      <c r="T193" s="132"/>
      <c r="U193" s="132"/>
      <c r="V193" s="112"/>
      <c r="W193" s="112"/>
    </row>
    <row r="194" spans="1:34">
      <c r="A194" t="s">
        <v>388</v>
      </c>
      <c r="C194" s="336">
        <f>SUM(C195:C196)</f>
        <v>879.57213000000002</v>
      </c>
      <c r="D194" s="336">
        <f t="shared" ref="D194:AH194" si="109">SUM(D195:D196)</f>
        <v>788.77112999999997</v>
      </c>
      <c r="E194" s="336">
        <f t="shared" si="109"/>
        <v>963.32934344594844</v>
      </c>
      <c r="F194" s="336">
        <f t="shared" si="109"/>
        <v>1051.1910373573651</v>
      </c>
      <c r="G194" s="336">
        <f t="shared" si="109"/>
        <v>1054.903092056737</v>
      </c>
      <c r="H194" s="408">
        <f t="shared" si="109"/>
        <v>1081.3406304686332</v>
      </c>
      <c r="I194" s="14">
        <f t="shared" si="109"/>
        <v>1099.0500069468139</v>
      </c>
      <c r="J194" s="14">
        <f t="shared" si="109"/>
        <v>1594.0829975183324</v>
      </c>
      <c r="K194" s="14">
        <f t="shared" si="109"/>
        <v>1454.3166750372202</v>
      </c>
      <c r="L194" s="14">
        <f t="shared" si="109"/>
        <v>1492.6914570156659</v>
      </c>
      <c r="M194" s="14">
        <f t="shared" si="109"/>
        <v>1639.0569168522111</v>
      </c>
      <c r="N194" s="188">
        <f t="shared" si="109"/>
        <v>2022.4616284101844</v>
      </c>
      <c r="O194" s="14">
        <f t="shared" si="109"/>
        <v>2613.4935347568303</v>
      </c>
      <c r="P194" s="14">
        <f t="shared" si="109"/>
        <v>2659.0671652093715</v>
      </c>
      <c r="Q194" s="14">
        <f t="shared" si="109"/>
        <v>2750.713862505916</v>
      </c>
      <c r="R194" s="14">
        <f t="shared" si="109"/>
        <v>2765.9176561014456</v>
      </c>
      <c r="S194" s="15">
        <f t="shared" si="109"/>
        <v>2788.9294391511803</v>
      </c>
      <c r="T194" s="14">
        <f t="shared" si="109"/>
        <v>2791.1954296913336</v>
      </c>
      <c r="U194" s="14">
        <f t="shared" si="109"/>
        <v>2769.436501644806</v>
      </c>
      <c r="V194" s="14">
        <f t="shared" si="109"/>
        <v>2780.583005195565</v>
      </c>
      <c r="W194" s="14">
        <f t="shared" si="109"/>
        <v>2789.2970825841858</v>
      </c>
      <c r="X194" s="188">
        <f t="shared" si="109"/>
        <v>2767.2899568701123</v>
      </c>
      <c r="Y194" s="159">
        <f t="shared" si="109"/>
        <v>2781.1127891424931</v>
      </c>
      <c r="Z194" s="159">
        <f t="shared" si="109"/>
        <v>2773.0896851311618</v>
      </c>
      <c r="AA194" s="159">
        <f t="shared" si="109"/>
        <v>2777.2887740069023</v>
      </c>
      <c r="AB194" s="159">
        <f t="shared" si="109"/>
        <v>2794.3739903285827</v>
      </c>
      <c r="AC194" s="159">
        <f t="shared" si="109"/>
        <v>2805.3919303891107</v>
      </c>
      <c r="AD194" s="159">
        <f t="shared" si="109"/>
        <v>2819.4745029852293</v>
      </c>
      <c r="AE194" s="159">
        <f t="shared" si="109"/>
        <v>2831.3625964804132</v>
      </c>
      <c r="AF194" s="159">
        <f t="shared" si="109"/>
        <v>2827.0728881272635</v>
      </c>
      <c r="AG194" s="159">
        <f t="shared" si="109"/>
        <v>2840.2395315652611</v>
      </c>
      <c r="AH194" s="188">
        <f t="shared" si="109"/>
        <v>2851.3234799335369</v>
      </c>
    </row>
    <row r="195" spans="1:34">
      <c r="A195" t="s">
        <v>389</v>
      </c>
      <c r="C195" s="335">
        <f>'Output - Jobs vs Yr (BAU)'!C51</f>
        <v>462.93270000000001</v>
      </c>
      <c r="D195" s="335">
        <f>'Output - Jobs vs Yr (BAU)'!D51</f>
        <v>415.14269999999999</v>
      </c>
      <c r="E195" s="335">
        <f>'Output - Jobs vs Yr (BAU)'!E51</f>
        <v>507.01544391892025</v>
      </c>
      <c r="F195" s="335">
        <f>'Output - Jobs vs Yr (BAU)'!F51</f>
        <v>553.2584407144027</v>
      </c>
      <c r="G195" s="335">
        <f>'Output - Jobs vs Yr (BAU)'!G51</f>
        <v>555.2121537140722</v>
      </c>
      <c r="H195" s="287">
        <f>'Output - Jobs vs Yr (BAU)'!H51</f>
        <v>569.12664761507006</v>
      </c>
      <c r="I195" s="118">
        <f>'Output - Jobs vs Yr (BAU)'!I51</f>
        <v>578.44737207727053</v>
      </c>
      <c r="J195" s="118">
        <f>'Output - Jobs vs Yr (BAU)'!J51</f>
        <v>838.99105132543821</v>
      </c>
      <c r="K195" s="118">
        <f>'Output - Jobs vs Yr (BAU)'!K51</f>
        <v>765.42982896695798</v>
      </c>
      <c r="L195" s="118">
        <f>'Output - Jobs vs Yr (BAU)'!L51</f>
        <v>785.62708263982427</v>
      </c>
      <c r="M195" s="118">
        <f>'Output - Jobs vs Yr (BAU)'!M51</f>
        <v>862.66153518537419</v>
      </c>
      <c r="N195" s="178">
        <f>'Output - Jobs vs Yr (BAU)'!N51</f>
        <v>1064.453488636939</v>
      </c>
      <c r="O195" s="118">
        <f>'Output - Jobs vs Yr (BAU)'!O51</f>
        <v>1375.5229130299106</v>
      </c>
      <c r="P195" s="118">
        <f>'Output - Jobs vs Yr (BAU)'!P51</f>
        <v>1399.5090343207216</v>
      </c>
      <c r="Q195" s="118">
        <f>'Output - Jobs vs Yr (BAU)'!Q51</f>
        <v>1447.7441381610081</v>
      </c>
      <c r="R195" s="118">
        <f>'Output - Jobs vs Yr (BAU)'!R51</f>
        <v>1455.7461347902342</v>
      </c>
      <c r="S195" s="118">
        <f>'Output - Jobs vs Yr (BAU)'!S51</f>
        <v>1467.8575995532526</v>
      </c>
      <c r="T195" s="118">
        <f>'Output - Jobs vs Yr (BAU)'!T51</f>
        <v>1469.0502261533334</v>
      </c>
      <c r="U195" s="118">
        <f>'Output - Jobs vs Yr (BAU)'!U51</f>
        <v>1457.598158760424</v>
      </c>
      <c r="V195" s="118">
        <f>'Output - Jobs vs Yr (BAU)'!V51</f>
        <v>1463.4647395766131</v>
      </c>
      <c r="W195" s="118">
        <f>'Output - Jobs vs Yr (BAU)'!W51</f>
        <v>1468.0510960969398</v>
      </c>
      <c r="X195" s="185">
        <f>'Output - Jobs vs Yr (BAU)'!X51</f>
        <v>1456.4683983526907</v>
      </c>
      <c r="Y195" s="272">
        <f>'Output - Jobs vs Yr (BAU)'!Y51</f>
        <v>1463.7435732328911</v>
      </c>
      <c r="Z195" s="272">
        <f>'Output - Jobs vs Yr (BAU)'!Z51</f>
        <v>1459.5208869111377</v>
      </c>
      <c r="AA195" s="272">
        <f>'Output - Jobs vs Yr (BAU)'!AA51</f>
        <v>1461.7309336878432</v>
      </c>
      <c r="AB195" s="272">
        <f>'Output - Jobs vs Yr (BAU)'!AB51</f>
        <v>1470.723152804517</v>
      </c>
      <c r="AC195" s="272">
        <f>'Output - Jobs vs Yr (BAU)'!AC51</f>
        <v>1476.5220686258476</v>
      </c>
      <c r="AD195" s="272">
        <f>'Output - Jobs vs Yr (BAU)'!AD51</f>
        <v>1483.9339489395943</v>
      </c>
      <c r="AE195" s="272">
        <f>'Output - Jobs vs Yr (BAU)'!AE51</f>
        <v>1490.1908402528488</v>
      </c>
      <c r="AF195" s="272">
        <f>'Output - Jobs vs Yr (BAU)'!AF51</f>
        <v>1487.933099014349</v>
      </c>
      <c r="AG195" s="272">
        <f>'Output - Jobs vs Yr (BAU)'!AG51</f>
        <v>1494.8629113501374</v>
      </c>
      <c r="AH195" s="185">
        <f>'Output - Jobs vs Yr (BAU)'!AH51</f>
        <v>1500.6965683860719</v>
      </c>
    </row>
    <row r="196" spans="1:34">
      <c r="A196" t="s">
        <v>390</v>
      </c>
      <c r="C196" s="335">
        <f>'Output - Jobs vs Yr (BAU)'!C69</f>
        <v>416.63943</v>
      </c>
      <c r="D196" s="335">
        <f>'Output - Jobs vs Yr (BAU)'!D69</f>
        <v>373.62842999999998</v>
      </c>
      <c r="E196" s="335">
        <f>'Output - Jobs vs Yr (BAU)'!E69</f>
        <v>456.31389952702818</v>
      </c>
      <c r="F196" s="335">
        <f>'Output - Jobs vs Yr (BAU)'!F69</f>
        <v>497.93259664296232</v>
      </c>
      <c r="G196" s="335">
        <f>'Output - Jobs vs Yr (BAU)'!G69</f>
        <v>499.69093834266488</v>
      </c>
      <c r="H196" s="287">
        <f>'Output - Jobs vs Yr (BAU)'!H69</f>
        <v>512.21398285356304</v>
      </c>
      <c r="I196" s="118">
        <f>'Output - Jobs vs Yr (BAU)'!I69</f>
        <v>520.60263486954352</v>
      </c>
      <c r="J196" s="118">
        <f>'Output - Jobs vs Yr (BAU)'!J69</f>
        <v>755.09194619289428</v>
      </c>
      <c r="K196" s="118">
        <f>'Output - Jobs vs Yr (BAU)'!K69</f>
        <v>688.88684607026221</v>
      </c>
      <c r="L196" s="118">
        <f>'Output - Jobs vs Yr (BAU)'!L69</f>
        <v>707.06437437584179</v>
      </c>
      <c r="M196" s="118">
        <f>'Output - Jobs vs Yr (BAU)'!M69</f>
        <v>776.39538166683678</v>
      </c>
      <c r="N196" s="178">
        <f>'Output - Jobs vs Yr (BAU)'!N69</f>
        <v>958.00813977324538</v>
      </c>
      <c r="O196" s="118">
        <f>'Output - Jobs vs Yr (BAU)'!O69</f>
        <v>1237.9706217269197</v>
      </c>
      <c r="P196" s="118">
        <f>'Output - Jobs vs Yr (BAU)'!P69</f>
        <v>1259.5581308886497</v>
      </c>
      <c r="Q196" s="118">
        <f>'Output - Jobs vs Yr (BAU)'!Q69</f>
        <v>1302.9697243449077</v>
      </c>
      <c r="R196" s="118">
        <f>'Output - Jobs vs Yr (BAU)'!R69</f>
        <v>1310.1715213112111</v>
      </c>
      <c r="S196" s="118">
        <f>'Output - Jobs vs Yr (BAU)'!S69</f>
        <v>1321.0718395979275</v>
      </c>
      <c r="T196" s="118">
        <f>'Output - Jobs vs Yr (BAU)'!T69</f>
        <v>1322.145203538</v>
      </c>
      <c r="U196" s="118">
        <f>'Output - Jobs vs Yr (BAU)'!U69</f>
        <v>1311.838342884382</v>
      </c>
      <c r="V196" s="118">
        <f>'Output - Jobs vs Yr (BAU)'!V69</f>
        <v>1317.1182656189519</v>
      </c>
      <c r="W196" s="118">
        <f>'Output - Jobs vs Yr (BAU)'!W69</f>
        <v>1321.245986487246</v>
      </c>
      <c r="X196" s="185">
        <f>'Output - Jobs vs Yr (BAU)'!X69</f>
        <v>1310.8215585174219</v>
      </c>
      <c r="Y196" s="272">
        <f>'Output - Jobs vs Yr (BAU)'!Y69</f>
        <v>1317.3692159096022</v>
      </c>
      <c r="Z196" s="272">
        <f>'Output - Jobs vs Yr (BAU)'!Z69</f>
        <v>1313.5687982200243</v>
      </c>
      <c r="AA196" s="272">
        <f>'Output - Jobs vs Yr (BAU)'!AA69</f>
        <v>1315.5578403190591</v>
      </c>
      <c r="AB196" s="272">
        <f>'Output - Jobs vs Yr (BAU)'!AB69</f>
        <v>1323.6508375240658</v>
      </c>
      <c r="AC196" s="272">
        <f>'Output - Jobs vs Yr (BAU)'!AC69</f>
        <v>1328.8698617632629</v>
      </c>
      <c r="AD196" s="272">
        <f>'Output - Jobs vs Yr (BAU)'!AD69</f>
        <v>1335.5405540456352</v>
      </c>
      <c r="AE196" s="272">
        <f>'Output - Jobs vs Yr (BAU)'!AE69</f>
        <v>1341.1717562275642</v>
      </c>
      <c r="AF196" s="272">
        <f>'Output - Jobs vs Yr (BAU)'!AF69</f>
        <v>1339.1397891129143</v>
      </c>
      <c r="AG196" s="272">
        <f>'Output - Jobs vs Yr (BAU)'!AG69</f>
        <v>1345.3766202151239</v>
      </c>
      <c r="AH196" s="185">
        <f>'Output - Jobs vs Yr (BAU)'!AH69</f>
        <v>1350.6269115474649</v>
      </c>
    </row>
    <row r="197" spans="1:34">
      <c r="A197" t="s">
        <v>391</v>
      </c>
      <c r="C197" s="336">
        <f>SUM(C198:C199)</f>
        <v>7925.9041500000003</v>
      </c>
      <c r="D197" s="336">
        <f t="shared" ref="D197:AH197" si="110">SUM(D198:D199)</f>
        <v>7495.6491500000011</v>
      </c>
      <c r="E197" s="336">
        <f t="shared" si="110"/>
        <v>7570.3683077993992</v>
      </c>
      <c r="F197" s="336">
        <f t="shared" si="110"/>
        <v>7573.7342492995995</v>
      </c>
      <c r="G197" s="336">
        <f t="shared" si="110"/>
        <v>7614.9011273324004</v>
      </c>
      <c r="H197" s="408">
        <f t="shared" si="110"/>
        <v>7636.7006234780001</v>
      </c>
      <c r="I197" s="14">
        <f t="shared" si="110"/>
        <v>7839.2543042493999</v>
      </c>
      <c r="J197" s="14">
        <f t="shared" si="110"/>
        <v>7908.6054868094006</v>
      </c>
      <c r="K197" s="14">
        <f t="shared" si="110"/>
        <v>8263.0434688782007</v>
      </c>
      <c r="L197" s="14">
        <f t="shared" si="110"/>
        <v>8607.3521790106006</v>
      </c>
      <c r="M197" s="14">
        <f t="shared" si="110"/>
        <v>8906.5917527149995</v>
      </c>
      <c r="N197" s="188">
        <f t="shared" si="110"/>
        <v>8975.449722908601</v>
      </c>
      <c r="O197" s="14">
        <f t="shared" si="110"/>
        <v>8975.4507005117994</v>
      </c>
      <c r="P197" s="14">
        <f t="shared" si="110"/>
        <v>8975.449722908601</v>
      </c>
      <c r="Q197" s="14">
        <f t="shared" si="110"/>
        <v>8975.4507005117994</v>
      </c>
      <c r="R197" s="14">
        <f t="shared" si="110"/>
        <v>8975.4507005117994</v>
      </c>
      <c r="S197" s="15">
        <f t="shared" si="110"/>
        <v>8975.449722908601</v>
      </c>
      <c r="T197" s="14">
        <f t="shared" si="110"/>
        <v>8975.4796009063994</v>
      </c>
      <c r="U197" s="14">
        <f t="shared" si="110"/>
        <v>8975.449722908601</v>
      </c>
      <c r="V197" s="14">
        <f t="shared" si="110"/>
        <v>8975.449722908601</v>
      </c>
      <c r="W197" s="14">
        <f t="shared" si="110"/>
        <v>8975.449722908601</v>
      </c>
      <c r="X197" s="188">
        <f t="shared" si="110"/>
        <v>8975.4507005117994</v>
      </c>
      <c r="Y197" s="159">
        <f t="shared" si="110"/>
        <v>8975.449722908601</v>
      </c>
      <c r="Z197" s="159">
        <f t="shared" si="110"/>
        <v>8979.5175479118006</v>
      </c>
      <c r="AA197" s="159">
        <f t="shared" si="110"/>
        <v>8979.5175479118006</v>
      </c>
      <c r="AB197" s="159">
        <f t="shared" si="110"/>
        <v>8979.5175479118006</v>
      </c>
      <c r="AC197" s="159">
        <f t="shared" si="110"/>
        <v>8979.5175479118006</v>
      </c>
      <c r="AD197" s="159">
        <f t="shared" si="110"/>
        <v>9023.1452292188005</v>
      </c>
      <c r="AE197" s="159">
        <f t="shared" si="110"/>
        <v>9033.892937699402</v>
      </c>
      <c r="AF197" s="159">
        <f t="shared" si="110"/>
        <v>9033.8920211963996</v>
      </c>
      <c r="AG197" s="159">
        <f t="shared" si="110"/>
        <v>9081.5286699259996</v>
      </c>
      <c r="AH197" s="188">
        <f t="shared" si="110"/>
        <v>9091.5874125513983</v>
      </c>
    </row>
    <row r="198" spans="1:34">
      <c r="A198" t="s">
        <v>393</v>
      </c>
      <c r="C198" s="335">
        <f>SUM('Output - Jobs vs Yr (BAU)'!C40:C43)</f>
        <v>4171.5285000000003</v>
      </c>
      <c r="D198" s="335">
        <f>SUM('Output - Jobs vs Yr (BAU)'!D40:D43)</f>
        <v>3945.0785000000005</v>
      </c>
      <c r="E198" s="335">
        <f>SUM('Output - Jobs vs Yr (BAU)'!E40:E43)</f>
        <v>3984.4043725259999</v>
      </c>
      <c r="F198" s="335">
        <f>SUM('Output - Jobs vs Yr (BAU)'!F40:F43)</f>
        <v>3986.1759206839997</v>
      </c>
      <c r="G198" s="335">
        <f>SUM('Output - Jobs vs Yr (BAU)'!G40:G43)</f>
        <v>4007.842698596</v>
      </c>
      <c r="H198" s="287">
        <f>SUM('Output - Jobs vs Yr (BAU)'!H40:H43)</f>
        <v>4019.3161176200001</v>
      </c>
      <c r="I198" s="118">
        <f>SUM('Output - Jobs vs Yr (BAU)'!I40:I43)</f>
        <v>4125.9233180259998</v>
      </c>
      <c r="J198" s="118">
        <f>SUM('Output - Jobs vs Yr (BAU)'!J40:J43)</f>
        <v>4162.4239404260006</v>
      </c>
      <c r="K198" s="118">
        <f>SUM('Output - Jobs vs Yr (BAU)'!K40:K43)</f>
        <v>4348.9702467779998</v>
      </c>
      <c r="L198" s="118">
        <f>SUM('Output - Jobs vs Yr (BAU)'!L40:L43)</f>
        <v>4530.185357374</v>
      </c>
      <c r="M198" s="118">
        <f>SUM('Output - Jobs vs Yr (BAU)'!M40:M43)</f>
        <v>4687.6798698499997</v>
      </c>
      <c r="N198" s="178">
        <f>SUM('Output - Jobs vs Yr (BAU)'!N40:N43)</f>
        <v>4723.9209067940001</v>
      </c>
      <c r="O198" s="118">
        <f>SUM('Output - Jobs vs Yr (BAU)'!O40:O43)</f>
        <v>4723.9214213219993</v>
      </c>
      <c r="P198" s="118">
        <f>SUM('Output - Jobs vs Yr (BAU)'!P40:P43)</f>
        <v>4723.9209067940001</v>
      </c>
      <c r="Q198" s="118">
        <f>SUM('Output - Jobs vs Yr (BAU)'!Q40:Q43)</f>
        <v>4723.9214213219993</v>
      </c>
      <c r="R198" s="118">
        <f>SUM('Output - Jobs vs Yr (BAU)'!R40:R43)</f>
        <v>4723.9214213219993</v>
      </c>
      <c r="S198" s="118">
        <f>SUM('Output - Jobs vs Yr (BAU)'!S40:S43)</f>
        <v>4723.9209067940001</v>
      </c>
      <c r="T198" s="118">
        <f>SUM('Output - Jobs vs Yr (BAU)'!T40:T43)</f>
        <v>4723.9366320559993</v>
      </c>
      <c r="U198" s="118">
        <f>SUM('Output - Jobs vs Yr (BAU)'!U40:U43)</f>
        <v>4723.9209067940001</v>
      </c>
      <c r="V198" s="118">
        <f>SUM('Output - Jobs vs Yr (BAU)'!V40:V43)</f>
        <v>4723.9209067940001</v>
      </c>
      <c r="W198" s="118">
        <f>SUM('Output - Jobs vs Yr (BAU)'!W40:W43)</f>
        <v>4723.9209067940001</v>
      </c>
      <c r="X198" s="185">
        <f>SUM('Output - Jobs vs Yr (BAU)'!X40:X43)</f>
        <v>4723.9214213219993</v>
      </c>
      <c r="Y198" s="272">
        <f>SUM('Output - Jobs vs Yr (BAU)'!Y40:Y43)</f>
        <v>4723.9209067940001</v>
      </c>
      <c r="Z198" s="272">
        <f>SUM('Output - Jobs vs Yr (BAU)'!Z40:Z43)</f>
        <v>4726.0618673219997</v>
      </c>
      <c r="AA198" s="272">
        <f>SUM('Output - Jobs vs Yr (BAU)'!AA40:AA43)</f>
        <v>4726.0618673219997</v>
      </c>
      <c r="AB198" s="272">
        <f>SUM('Output - Jobs vs Yr (BAU)'!AB40:AB43)</f>
        <v>4726.0618673219997</v>
      </c>
      <c r="AC198" s="272">
        <f>SUM('Output - Jobs vs Yr (BAU)'!AC40:AC43)</f>
        <v>4726.0618673219997</v>
      </c>
      <c r="AD198" s="272">
        <f>SUM('Output - Jobs vs Yr (BAU)'!AD40:AD43)</f>
        <v>4749.0238048519996</v>
      </c>
      <c r="AE198" s="272">
        <f>SUM('Output - Jobs vs Yr (BAU)'!AE40:AE43)</f>
        <v>4754.6804935260006</v>
      </c>
      <c r="AF198" s="272">
        <f>SUM('Output - Jobs vs Yr (BAU)'!AF40:AF43)</f>
        <v>4754.6800111559996</v>
      </c>
      <c r="AG198" s="272">
        <f>SUM('Output - Jobs vs Yr (BAU)'!AG40:AG43)</f>
        <v>4779.7519315399995</v>
      </c>
      <c r="AH198" s="185">
        <f>SUM('Output - Jobs vs Yr (BAU)'!AH40:AH43)</f>
        <v>4785.0460066059995</v>
      </c>
    </row>
    <row r="199" spans="1:34">
      <c r="A199" t="s">
        <v>392</v>
      </c>
      <c r="C199" s="335">
        <f>SUM('Output - Jobs vs Yr (BAU)'!C58:C61)</f>
        <v>3754.3756500000004</v>
      </c>
      <c r="D199" s="335">
        <f>SUM('Output - Jobs vs Yr (BAU)'!D58:D61)</f>
        <v>3550.5706500000006</v>
      </c>
      <c r="E199" s="335">
        <f>SUM('Output - Jobs vs Yr (BAU)'!E58:E61)</f>
        <v>3585.9639352733998</v>
      </c>
      <c r="F199" s="335">
        <f>SUM('Output - Jobs vs Yr (BAU)'!F58:F61)</f>
        <v>3587.5583286155997</v>
      </c>
      <c r="G199" s="335">
        <f>SUM('Output - Jobs vs Yr (BAU)'!G58:G61)</f>
        <v>3607.0584287364004</v>
      </c>
      <c r="H199" s="287">
        <f>SUM('Output - Jobs vs Yr (BAU)'!H58:H61)</f>
        <v>3617.384505858</v>
      </c>
      <c r="I199" s="118">
        <f>SUM('Output - Jobs vs Yr (BAU)'!I58:I61)</f>
        <v>3713.3309862234</v>
      </c>
      <c r="J199" s="118">
        <f>SUM('Output - Jobs vs Yr (BAU)'!J58:J61)</f>
        <v>3746.1815463834</v>
      </c>
      <c r="K199" s="118">
        <f>SUM('Output - Jobs vs Yr (BAU)'!K58:K61)</f>
        <v>3914.0732221001999</v>
      </c>
      <c r="L199" s="118">
        <f>SUM('Output - Jobs vs Yr (BAU)'!L58:L61)</f>
        <v>4077.1668216366002</v>
      </c>
      <c r="M199" s="118">
        <f>SUM('Output - Jobs vs Yr (BAU)'!M58:M61)</f>
        <v>4218.9118828649998</v>
      </c>
      <c r="N199" s="178">
        <f>SUM('Output - Jobs vs Yr (BAU)'!N58:N61)</f>
        <v>4251.5288161146009</v>
      </c>
      <c r="O199" s="118">
        <f>SUM('Output - Jobs vs Yr (BAU)'!O58:O61)</f>
        <v>4251.5292791898</v>
      </c>
      <c r="P199" s="118">
        <f>SUM('Output - Jobs vs Yr (BAU)'!P58:P61)</f>
        <v>4251.5288161146009</v>
      </c>
      <c r="Q199" s="118">
        <f>SUM('Output - Jobs vs Yr (BAU)'!Q58:Q61)</f>
        <v>4251.5292791898</v>
      </c>
      <c r="R199" s="118">
        <f>SUM('Output - Jobs vs Yr (BAU)'!R58:R61)</f>
        <v>4251.5292791898</v>
      </c>
      <c r="S199" s="118">
        <f>SUM('Output - Jobs vs Yr (BAU)'!S58:S61)</f>
        <v>4251.5288161146009</v>
      </c>
      <c r="T199" s="118">
        <f>SUM('Output - Jobs vs Yr (BAU)'!T58:T61)</f>
        <v>4251.5429688504</v>
      </c>
      <c r="U199" s="118">
        <f>SUM('Output - Jobs vs Yr (BAU)'!U58:U61)</f>
        <v>4251.5288161146009</v>
      </c>
      <c r="V199" s="118">
        <f>SUM('Output - Jobs vs Yr (BAU)'!V58:V61)</f>
        <v>4251.5288161146009</v>
      </c>
      <c r="W199" s="118">
        <f>SUM('Output - Jobs vs Yr (BAU)'!W58:W61)</f>
        <v>4251.5288161146009</v>
      </c>
      <c r="X199" s="185">
        <f>SUM('Output - Jobs vs Yr (BAU)'!X58:X61)</f>
        <v>4251.5292791898</v>
      </c>
      <c r="Y199" s="272">
        <f>SUM('Output - Jobs vs Yr (BAU)'!Y58:Y61)</f>
        <v>4251.5288161146009</v>
      </c>
      <c r="Z199" s="272">
        <f>SUM('Output - Jobs vs Yr (BAU)'!Z58:Z61)</f>
        <v>4253.4556805898001</v>
      </c>
      <c r="AA199" s="272">
        <f>SUM('Output - Jobs vs Yr (BAU)'!AA58:AA61)</f>
        <v>4253.4556805898001</v>
      </c>
      <c r="AB199" s="272">
        <f>SUM('Output - Jobs vs Yr (BAU)'!AB58:AB61)</f>
        <v>4253.4556805898001</v>
      </c>
      <c r="AC199" s="272">
        <f>SUM('Output - Jobs vs Yr (BAU)'!AC58:AC61)</f>
        <v>4253.4556805898001</v>
      </c>
      <c r="AD199" s="272">
        <f>SUM('Output - Jobs vs Yr (BAU)'!AD58:AD61)</f>
        <v>4274.1214243668001</v>
      </c>
      <c r="AE199" s="272">
        <f>SUM('Output - Jobs vs Yr (BAU)'!AE58:AE61)</f>
        <v>4279.2124441734004</v>
      </c>
      <c r="AF199" s="272">
        <f>SUM('Output - Jobs vs Yr (BAU)'!AF58:AF61)</f>
        <v>4279.2120100403999</v>
      </c>
      <c r="AG199" s="272">
        <f>SUM('Output - Jobs vs Yr (BAU)'!AG58:AG61)</f>
        <v>4301.776738386</v>
      </c>
      <c r="AH199" s="185">
        <f>SUM('Output - Jobs vs Yr (BAU)'!AH58:AH61)</f>
        <v>4306.5414059453997</v>
      </c>
    </row>
    <row r="200" spans="1:34">
      <c r="A200" t="s">
        <v>394</v>
      </c>
      <c r="C200" s="336">
        <f>SUM(C201:C202)</f>
        <v>7900.2</v>
      </c>
      <c r="D200" s="336">
        <f t="shared" ref="D200:AH200" si="111">SUM(D201:D202)</f>
        <v>8873.7220000000016</v>
      </c>
      <c r="E200" s="336">
        <f t="shared" si="111"/>
        <v>9450.8629041568529</v>
      </c>
      <c r="F200" s="336">
        <f t="shared" si="111"/>
        <v>10042.047913529126</v>
      </c>
      <c r="G200" s="336">
        <f t="shared" si="111"/>
        <v>9304.5244983856428</v>
      </c>
      <c r="H200" s="408">
        <f t="shared" si="111"/>
        <v>9415.491299607751</v>
      </c>
      <c r="I200" s="14">
        <f t="shared" si="111"/>
        <v>10153.957578796013</v>
      </c>
      <c r="J200" s="14">
        <f t="shared" si="111"/>
        <v>10310.86972786853</v>
      </c>
      <c r="K200" s="14">
        <f t="shared" si="111"/>
        <v>10614.535850166849</v>
      </c>
      <c r="L200" s="14">
        <f t="shared" si="111"/>
        <v>10192.611404261263</v>
      </c>
      <c r="M200" s="14">
        <f t="shared" si="111"/>
        <v>10036.230172097599</v>
      </c>
      <c r="N200" s="188">
        <f t="shared" si="111"/>
        <v>10354.71907753431</v>
      </c>
      <c r="O200" s="14">
        <f t="shared" si="111"/>
        <v>10402.759976021014</v>
      </c>
      <c r="P200" s="14">
        <f t="shared" si="111"/>
        <v>10904.226134745899</v>
      </c>
      <c r="Q200" s="14">
        <f t="shared" si="111"/>
        <v>11036.129302769063</v>
      </c>
      <c r="R200" s="14">
        <f t="shared" si="111"/>
        <v>11485.939227799639</v>
      </c>
      <c r="S200" s="15">
        <f t="shared" si="111"/>
        <v>11744.439571268073</v>
      </c>
      <c r="T200" s="14">
        <f t="shared" si="111"/>
        <v>11910.524098009366</v>
      </c>
      <c r="U200" s="14">
        <f t="shared" si="111"/>
        <v>12652.844255614944</v>
      </c>
      <c r="V200" s="14">
        <f t="shared" si="111"/>
        <v>12877.087063594363</v>
      </c>
      <c r="W200" s="14">
        <f t="shared" si="111"/>
        <v>13325.938946318476</v>
      </c>
      <c r="X200" s="188">
        <f t="shared" si="111"/>
        <v>13682.944520684079</v>
      </c>
      <c r="Y200" s="159">
        <f t="shared" si="111"/>
        <v>13633.468886419631</v>
      </c>
      <c r="Z200" s="159">
        <f t="shared" si="111"/>
        <v>13739.390205698845</v>
      </c>
      <c r="AA200" s="159">
        <f t="shared" si="111"/>
        <v>13962.755086730744</v>
      </c>
      <c r="AB200" s="159">
        <f t="shared" si="111"/>
        <v>14326.399149021103</v>
      </c>
      <c r="AC200" s="159">
        <f t="shared" si="111"/>
        <v>14404.599385361853</v>
      </c>
      <c r="AD200" s="159">
        <f t="shared" si="111"/>
        <v>14553.731330315004</v>
      </c>
      <c r="AE200" s="159">
        <f t="shared" si="111"/>
        <v>14743.903076787106</v>
      </c>
      <c r="AF200" s="159">
        <f t="shared" si="111"/>
        <v>14887.377661789797</v>
      </c>
      <c r="AG200" s="159">
        <f t="shared" si="111"/>
        <v>15400.311722531653</v>
      </c>
      <c r="AH200" s="188">
        <f t="shared" si="111"/>
        <v>15824.113082443027</v>
      </c>
    </row>
    <row r="201" spans="1:34">
      <c r="A201" t="s">
        <v>395</v>
      </c>
      <c r="C201" s="335">
        <f>SUM('Output - Jobs vs Yr (BAU)'!C53:C54)</f>
        <v>4158</v>
      </c>
      <c r="D201" s="335">
        <f>SUM('Output - Jobs vs Yr (BAU)'!D53:D54)</f>
        <v>4670.38</v>
      </c>
      <c r="E201" s="335">
        <f>SUM('Output - Jobs vs Yr (BAU)'!E53:E54)</f>
        <v>4974.13837060887</v>
      </c>
      <c r="F201" s="335">
        <f>SUM('Output - Jobs vs Yr (BAU)'!F53:F54)</f>
        <v>5285.2883755416451</v>
      </c>
      <c r="G201" s="335">
        <f>SUM('Output - Jobs vs Yr (BAU)'!G53:G54)</f>
        <v>4897.1181570450753</v>
      </c>
      <c r="H201" s="287">
        <f>SUM('Output - Jobs vs Yr (BAU)'!H53:H54)</f>
        <v>4955.5217366356583</v>
      </c>
      <c r="I201" s="118">
        <f>SUM('Output - Jobs vs Yr (BAU)'!I53:I54)</f>
        <v>5344.1881993663219</v>
      </c>
      <c r="J201" s="118">
        <f>SUM('Output - Jobs vs Yr (BAU)'!J53:J54)</f>
        <v>5426.7735409834368</v>
      </c>
      <c r="K201" s="118">
        <f>SUM('Output - Jobs vs Yr (BAU)'!K53:K54)</f>
        <v>5586.5978158772887</v>
      </c>
      <c r="L201" s="118">
        <f>SUM('Output - Jobs vs Yr (BAU)'!L53:L54)</f>
        <v>5364.532318032243</v>
      </c>
      <c r="M201" s="118">
        <f>SUM('Output - Jobs vs Yr (BAU)'!M53:M54)</f>
        <v>5282.2264063671573</v>
      </c>
      <c r="N201" s="178">
        <f>SUM('Output - Jobs vs Yr (BAU)'!N53:N54)</f>
        <v>5449.8521460706888</v>
      </c>
      <c r="O201" s="118">
        <f>SUM('Output - Jobs vs Yr (BAU)'!O53:O54)</f>
        <v>5475.1368294847443</v>
      </c>
      <c r="P201" s="118">
        <f>SUM('Output - Jobs vs Yr (BAU)'!P53:P54)</f>
        <v>5739.0663867083676</v>
      </c>
      <c r="Q201" s="118">
        <f>SUM('Output - Jobs vs Yr (BAU)'!Q53:Q54)</f>
        <v>5808.4891067205599</v>
      </c>
      <c r="R201" s="118">
        <f>SUM('Output - Jobs vs Yr (BAU)'!R53:R54)</f>
        <v>6045.2311725261261</v>
      </c>
      <c r="S201" s="118">
        <f>SUM('Output - Jobs vs Yr (BAU)'!S53:S54)</f>
        <v>6181.2839848779331</v>
      </c>
      <c r="T201" s="118">
        <f>SUM('Output - Jobs vs Yr (BAU)'!T53:T54)</f>
        <v>6268.696893689139</v>
      </c>
      <c r="U201" s="118">
        <f>SUM('Output - Jobs vs Yr (BAU)'!U53:U54)</f>
        <v>6659.3917134815492</v>
      </c>
      <c r="V201" s="118">
        <f>SUM('Output - Jobs vs Yr (BAU)'!V53:V54)</f>
        <v>6777.4142439970328</v>
      </c>
      <c r="W201" s="118">
        <f>SUM('Output - Jobs vs Yr (BAU)'!W53:W54)</f>
        <v>7013.6520770097241</v>
      </c>
      <c r="X201" s="185">
        <f>SUM('Output - Jobs vs Yr (BAU)'!X53:X54)</f>
        <v>7201.5497477284634</v>
      </c>
      <c r="Y201" s="272">
        <f>SUM('Output - Jobs vs Yr (BAU)'!Y53:Y54)</f>
        <v>7175.509940220858</v>
      </c>
      <c r="Z201" s="272">
        <f>SUM('Output - Jobs vs Yr (BAU)'!Z53:Z54)</f>
        <v>7231.2580029993915</v>
      </c>
      <c r="AA201" s="272">
        <f>SUM('Output - Jobs vs Yr (BAU)'!AA53:AA54)</f>
        <v>7348.8184667003916</v>
      </c>
      <c r="AB201" s="272">
        <f>SUM('Output - Jobs vs Yr (BAU)'!AB53:AB54)</f>
        <v>7540.2100784321592</v>
      </c>
      <c r="AC201" s="272">
        <f>SUM('Output - Jobs vs Yr (BAU)'!AC53:AC54)</f>
        <v>7581.3680975588704</v>
      </c>
      <c r="AD201" s="272">
        <f>SUM('Output - Jobs vs Yr (BAU)'!AD53:AD54)</f>
        <v>7659.8585949026337</v>
      </c>
      <c r="AE201" s="272">
        <f>SUM('Output - Jobs vs Yr (BAU)'!AE53:AE54)</f>
        <v>7759.9489877826873</v>
      </c>
      <c r="AF201" s="272">
        <f>SUM('Output - Jobs vs Yr (BAU)'!AF53:AF54)</f>
        <v>7835.4619272577875</v>
      </c>
      <c r="AG201" s="272">
        <f>SUM('Output - Jobs vs Yr (BAU)'!AG53:AG54)</f>
        <v>8105.4272223850803</v>
      </c>
      <c r="AH201" s="185">
        <f>SUM('Output - Jobs vs Yr (BAU)'!AH53:AH54)</f>
        <v>8328.4805697068568</v>
      </c>
    </row>
    <row r="202" spans="1:34">
      <c r="A202" t="s">
        <v>396</v>
      </c>
      <c r="C202" s="335">
        <f>SUM('Output - Jobs vs Yr (BAU)'!C71:C72)</f>
        <v>3742.2</v>
      </c>
      <c r="D202" s="335">
        <f>SUM('Output - Jobs vs Yr (BAU)'!D71:D72)</f>
        <v>4203.3420000000006</v>
      </c>
      <c r="E202" s="335">
        <f>SUM('Output - Jobs vs Yr (BAU)'!E71:E72)</f>
        <v>4476.7245335479838</v>
      </c>
      <c r="F202" s="335">
        <f>SUM('Output - Jobs vs Yr (BAU)'!F71:F72)</f>
        <v>4756.7595379874811</v>
      </c>
      <c r="G202" s="335">
        <f>SUM('Output - Jobs vs Yr (BAU)'!G71:G72)</f>
        <v>4407.4063413405684</v>
      </c>
      <c r="H202" s="287">
        <f>SUM('Output - Jobs vs Yr (BAU)'!H71:H72)</f>
        <v>4459.9695629720918</v>
      </c>
      <c r="I202" s="118">
        <f>SUM('Output - Jobs vs Yr (BAU)'!I71:I72)</f>
        <v>4809.7693794296902</v>
      </c>
      <c r="J202" s="118">
        <f>SUM('Output - Jobs vs Yr (BAU)'!J71:J72)</f>
        <v>4884.0961868850936</v>
      </c>
      <c r="K202" s="118">
        <f>SUM('Output - Jobs vs Yr (BAU)'!K71:K72)</f>
        <v>5027.9380342895602</v>
      </c>
      <c r="L202" s="118">
        <f>SUM('Output - Jobs vs Yr (BAU)'!L71:L72)</f>
        <v>4828.0790862290196</v>
      </c>
      <c r="M202" s="118">
        <f>SUM('Output - Jobs vs Yr (BAU)'!M71:M72)</f>
        <v>4754.003765730442</v>
      </c>
      <c r="N202" s="178">
        <f>SUM('Output - Jobs vs Yr (BAU)'!N71:N72)</f>
        <v>4904.8669314636209</v>
      </c>
      <c r="O202" s="118">
        <f>SUM('Output - Jobs vs Yr (BAU)'!O71:O72)</f>
        <v>4927.6231465362698</v>
      </c>
      <c r="P202" s="118">
        <f>SUM('Output - Jobs vs Yr (BAU)'!P71:P72)</f>
        <v>5165.1597480375312</v>
      </c>
      <c r="Q202" s="118">
        <f>SUM('Output - Jobs vs Yr (BAU)'!Q71:Q72)</f>
        <v>5227.6401960485036</v>
      </c>
      <c r="R202" s="118">
        <f>SUM('Output - Jobs vs Yr (BAU)'!R71:R72)</f>
        <v>5440.7080552735133</v>
      </c>
      <c r="S202" s="118">
        <f>SUM('Output - Jobs vs Yr (BAU)'!S71:S72)</f>
        <v>5563.1555863901394</v>
      </c>
      <c r="T202" s="118">
        <f>SUM('Output - Jobs vs Yr (BAU)'!T71:T72)</f>
        <v>5641.827204320226</v>
      </c>
      <c r="U202" s="118">
        <f>SUM('Output - Jobs vs Yr (BAU)'!U71:U72)</f>
        <v>5993.4525421333947</v>
      </c>
      <c r="V202" s="118">
        <f>SUM('Output - Jobs vs Yr (BAU)'!V71:V72)</f>
        <v>6099.6728195973301</v>
      </c>
      <c r="W202" s="118">
        <f>SUM('Output - Jobs vs Yr (BAU)'!W71:W72)</f>
        <v>6312.2868693087521</v>
      </c>
      <c r="X202" s="185">
        <f>SUM('Output - Jobs vs Yr (BAU)'!X71:X72)</f>
        <v>6481.3947729556166</v>
      </c>
      <c r="Y202" s="272">
        <f>SUM('Output - Jobs vs Yr (BAU)'!Y71:Y72)</f>
        <v>6457.9589461987725</v>
      </c>
      <c r="Z202" s="272">
        <f>SUM('Output - Jobs vs Yr (BAU)'!Z71:Z72)</f>
        <v>6508.1322026994521</v>
      </c>
      <c r="AA202" s="272">
        <f>SUM('Output - Jobs vs Yr (BAU)'!AA71:AA72)</f>
        <v>6613.9366200303521</v>
      </c>
      <c r="AB202" s="272">
        <f>SUM('Output - Jobs vs Yr (BAU)'!AB71:AB72)</f>
        <v>6786.1890705889437</v>
      </c>
      <c r="AC202" s="272">
        <f>SUM('Output - Jobs vs Yr (BAU)'!AC71:AC72)</f>
        <v>6823.2312878029825</v>
      </c>
      <c r="AD202" s="272">
        <f>SUM('Output - Jobs vs Yr (BAU)'!AD71:AD72)</f>
        <v>6893.8727354123703</v>
      </c>
      <c r="AE202" s="272">
        <f>SUM('Output - Jobs vs Yr (BAU)'!AE71:AE72)</f>
        <v>6983.9540890044191</v>
      </c>
      <c r="AF202" s="272">
        <f>SUM('Output - Jobs vs Yr (BAU)'!AF71:AF72)</f>
        <v>7051.9157345320091</v>
      </c>
      <c r="AG202" s="272">
        <f>SUM('Output - Jobs vs Yr (BAU)'!AG71:AG72)</f>
        <v>7294.8845001465725</v>
      </c>
      <c r="AH202" s="185">
        <f>SUM('Output - Jobs vs Yr (BAU)'!AH71:AH72)</f>
        <v>7495.6325127361706</v>
      </c>
    </row>
    <row r="203" spans="1:34">
      <c r="A203" s="1" t="s">
        <v>425</v>
      </c>
      <c r="C203" s="336">
        <f>SUM(C191,C194,C197,C200)</f>
        <v>16705.67628</v>
      </c>
      <c r="D203" s="336">
        <f t="shared" ref="D203:AH203" si="112">SUM(D191,D194,D197,D200)</f>
        <v>17158.14228</v>
      </c>
      <c r="E203" s="336">
        <f t="shared" si="112"/>
        <v>17984.5605554022</v>
      </c>
      <c r="F203" s="336">
        <f t="shared" si="112"/>
        <v>18666.97320018609</v>
      </c>
      <c r="G203" s="336">
        <f t="shared" si="112"/>
        <v>17974.328717774781</v>
      </c>
      <c r="H203" s="408">
        <f t="shared" si="112"/>
        <v>18133.532553554385</v>
      </c>
      <c r="I203" s="14">
        <f t="shared" si="112"/>
        <v>19092.261889992227</v>
      </c>
      <c r="J203" s="14">
        <f t="shared" si="112"/>
        <v>19813.558212196265</v>
      </c>
      <c r="K203" s="14">
        <f t="shared" si="112"/>
        <v>20331.895994082268</v>
      </c>
      <c r="L203" s="14">
        <f t="shared" si="112"/>
        <v>20292.655040287529</v>
      </c>
      <c r="M203" s="133">
        <f t="shared" si="112"/>
        <v>20581.878841664809</v>
      </c>
      <c r="N203" s="194">
        <f t="shared" si="112"/>
        <v>21352.630428853096</v>
      </c>
      <c r="O203" s="14">
        <f t="shared" si="112"/>
        <v>21991.704211289645</v>
      </c>
      <c r="P203" s="14">
        <f t="shared" si="112"/>
        <v>22538.74302286387</v>
      </c>
      <c r="Q203" s="14">
        <f t="shared" si="112"/>
        <v>22762.293865786778</v>
      </c>
      <c r="R203" s="14">
        <f t="shared" si="112"/>
        <v>23227.307584412883</v>
      </c>
      <c r="S203" s="14">
        <f t="shared" si="112"/>
        <v>23508.818733327855</v>
      </c>
      <c r="T203" s="14">
        <f t="shared" si="112"/>
        <v>23677.199128607099</v>
      </c>
      <c r="U203" s="14">
        <f t="shared" si="112"/>
        <v>24397.730480168349</v>
      </c>
      <c r="V203" s="14">
        <f t="shared" si="112"/>
        <v>24633.119791698529</v>
      </c>
      <c r="W203" s="14">
        <f t="shared" si="112"/>
        <v>25090.685751811263</v>
      </c>
      <c r="X203" s="188">
        <f t="shared" si="112"/>
        <v>25425.685178065993</v>
      </c>
      <c r="Y203" s="159">
        <f t="shared" si="112"/>
        <v>25390.031398470725</v>
      </c>
      <c r="Z203" s="159">
        <f t="shared" si="112"/>
        <v>25491.997438741808</v>
      </c>
      <c r="AA203" s="159">
        <f t="shared" si="112"/>
        <v>25719.561408649446</v>
      </c>
      <c r="AB203" s="159">
        <f t="shared" si="112"/>
        <v>26100.290687261484</v>
      </c>
      <c r="AC203" s="159">
        <f t="shared" si="112"/>
        <v>26189.508863662762</v>
      </c>
      <c r="AD203" s="159">
        <f t="shared" si="112"/>
        <v>26396.351062519032</v>
      </c>
      <c r="AE203" s="159">
        <f t="shared" si="112"/>
        <v>26609.158610966922</v>
      </c>
      <c r="AF203" s="159">
        <f t="shared" si="112"/>
        <v>26748.342571113459</v>
      </c>
      <c r="AG203" s="159">
        <f t="shared" si="112"/>
        <v>27322.079924022913</v>
      </c>
      <c r="AH203" s="188">
        <f t="shared" si="112"/>
        <v>27767.023974927964</v>
      </c>
    </row>
    <row r="204" spans="1:34">
      <c r="A204" s="1" t="s">
        <v>448</v>
      </c>
      <c r="C204" s="336"/>
      <c r="D204" s="336">
        <f>D194+D197</f>
        <v>8284.4202800000003</v>
      </c>
      <c r="E204" s="336">
        <f t="shared" ref="E204:AH204" si="113">E194+E197</f>
        <v>8533.6976512453475</v>
      </c>
      <c r="F204" s="336">
        <f t="shared" si="113"/>
        <v>8624.9252866569641</v>
      </c>
      <c r="G204" s="336">
        <f t="shared" si="113"/>
        <v>8669.8042193891379</v>
      </c>
      <c r="H204" s="408">
        <f t="shared" si="113"/>
        <v>8718.0412539466342</v>
      </c>
      <c r="I204" s="14">
        <f t="shared" si="113"/>
        <v>8938.3043111962143</v>
      </c>
      <c r="J204" s="14">
        <f t="shared" si="113"/>
        <v>9502.688484327733</v>
      </c>
      <c r="K204" s="14">
        <f t="shared" si="113"/>
        <v>9717.3601439154208</v>
      </c>
      <c r="L204" s="14">
        <f t="shared" si="113"/>
        <v>10100.043636026267</v>
      </c>
      <c r="M204" s="14">
        <f t="shared" si="113"/>
        <v>10545.64866956721</v>
      </c>
      <c r="N204" s="188">
        <f t="shared" si="113"/>
        <v>10997.911351318786</v>
      </c>
      <c r="O204" s="14">
        <f t="shared" si="113"/>
        <v>11588.944235268629</v>
      </c>
      <c r="P204" s="14">
        <f t="shared" si="113"/>
        <v>11634.516888117972</v>
      </c>
      <c r="Q204" s="14">
        <f t="shared" si="113"/>
        <v>11726.164563017715</v>
      </c>
      <c r="R204" s="14">
        <f t="shared" si="113"/>
        <v>11741.368356613246</v>
      </c>
      <c r="S204" s="14">
        <f t="shared" si="113"/>
        <v>11764.37916205978</v>
      </c>
      <c r="T204" s="14">
        <f t="shared" si="113"/>
        <v>11766.675030597733</v>
      </c>
      <c r="U204" s="14">
        <f t="shared" si="113"/>
        <v>11744.886224553407</v>
      </c>
      <c r="V204" s="14">
        <f t="shared" si="113"/>
        <v>11756.032728104166</v>
      </c>
      <c r="W204" s="14">
        <f t="shared" si="113"/>
        <v>11764.746805492787</v>
      </c>
      <c r="X204" s="188">
        <f t="shared" si="113"/>
        <v>11742.740657381912</v>
      </c>
      <c r="Y204" s="159">
        <f t="shared" si="113"/>
        <v>11756.562512051094</v>
      </c>
      <c r="Z204" s="159">
        <f t="shared" si="113"/>
        <v>11752.607233042963</v>
      </c>
      <c r="AA204" s="159">
        <f t="shared" si="113"/>
        <v>11756.806321918702</v>
      </c>
      <c r="AB204" s="159">
        <f t="shared" si="113"/>
        <v>11773.891538240383</v>
      </c>
      <c r="AC204" s="159">
        <f t="shared" si="113"/>
        <v>11784.909478300911</v>
      </c>
      <c r="AD204" s="159">
        <f t="shared" si="113"/>
        <v>11842.61973220403</v>
      </c>
      <c r="AE204" s="159">
        <f t="shared" si="113"/>
        <v>11865.255534179814</v>
      </c>
      <c r="AF204" s="159">
        <f t="shared" si="113"/>
        <v>11860.964909323662</v>
      </c>
      <c r="AG204" s="159">
        <f t="shared" si="113"/>
        <v>11921.768201491261</v>
      </c>
      <c r="AH204" s="188">
        <f t="shared" si="113"/>
        <v>11942.910892484935</v>
      </c>
    </row>
    <row r="205" spans="1:34">
      <c r="A205" s="1"/>
      <c r="C205" s="336"/>
      <c r="D205" s="336"/>
      <c r="E205" s="336"/>
      <c r="F205" s="336"/>
      <c r="G205" s="336"/>
      <c r="H205" s="408"/>
      <c r="I205" s="14"/>
      <c r="J205" s="14"/>
      <c r="K205" s="14"/>
      <c r="L205" s="14"/>
      <c r="M205" s="14"/>
      <c r="N205" s="188"/>
      <c r="O205" s="14"/>
      <c r="P205" s="14"/>
      <c r="Q205" s="14"/>
      <c r="R205" s="14"/>
      <c r="S205" s="14"/>
      <c r="T205" s="14"/>
      <c r="U205" s="14"/>
      <c r="V205" s="14"/>
      <c r="W205" s="14"/>
      <c r="X205" s="188"/>
    </row>
    <row r="206" spans="1:34">
      <c r="A206" s="1" t="s">
        <v>453</v>
      </c>
      <c r="C206" s="336"/>
      <c r="D206" s="336">
        <f>D194</f>
        <v>788.77112999999997</v>
      </c>
      <c r="E206" s="336">
        <f>D206+E194</f>
        <v>1752.1004734459484</v>
      </c>
      <c r="F206" s="336">
        <f>E206+F194</f>
        <v>2803.2915108033135</v>
      </c>
      <c r="G206" s="336">
        <f>F206+G194</f>
        <v>3858.1946028600505</v>
      </c>
      <c r="H206" s="408">
        <f t="shared" ref="H206:X206" si="114">G206+H194</f>
        <v>4939.5352333286837</v>
      </c>
      <c r="I206" s="14">
        <f t="shared" si="114"/>
        <v>6038.5852402754972</v>
      </c>
      <c r="J206" s="14">
        <f t="shared" si="114"/>
        <v>7632.6682377938296</v>
      </c>
      <c r="K206" s="14">
        <f t="shared" si="114"/>
        <v>9086.9849128310489</v>
      </c>
      <c r="L206" s="14">
        <f t="shared" si="114"/>
        <v>10579.676369846715</v>
      </c>
      <c r="M206" s="14">
        <f t="shared" si="114"/>
        <v>12218.733286698925</v>
      </c>
      <c r="N206" s="188">
        <f t="shared" si="114"/>
        <v>14241.19491510911</v>
      </c>
      <c r="O206" s="14">
        <f t="shared" si="114"/>
        <v>16854.688449865942</v>
      </c>
      <c r="P206" s="14">
        <f t="shared" si="114"/>
        <v>19513.755615075315</v>
      </c>
      <c r="Q206" s="14">
        <f t="shared" si="114"/>
        <v>22264.469477581231</v>
      </c>
      <c r="R206" s="14">
        <f t="shared" si="114"/>
        <v>25030.387133682678</v>
      </c>
      <c r="S206" s="14">
        <f t="shared" si="114"/>
        <v>27819.316572833857</v>
      </c>
      <c r="T206" s="14">
        <f t="shared" si="114"/>
        <v>30610.512002525189</v>
      </c>
      <c r="U206" s="14">
        <f t="shared" si="114"/>
        <v>33379.948504169995</v>
      </c>
      <c r="V206" s="14">
        <f t="shared" si="114"/>
        <v>36160.531509365559</v>
      </c>
      <c r="W206" s="14">
        <f t="shared" si="114"/>
        <v>38949.828591949743</v>
      </c>
      <c r="X206" s="188">
        <f t="shared" si="114"/>
        <v>41717.118548819853</v>
      </c>
      <c r="Y206" s="159">
        <f t="shared" ref="Y206:AH206" si="115">X206+Y194</f>
        <v>44498.231337962345</v>
      </c>
      <c r="Z206" s="159">
        <f t="shared" si="115"/>
        <v>47271.321023093507</v>
      </c>
      <c r="AA206" s="159">
        <f t="shared" si="115"/>
        <v>50048.609797100413</v>
      </c>
      <c r="AB206" s="159">
        <f t="shared" si="115"/>
        <v>52842.983787428995</v>
      </c>
      <c r="AC206" s="159">
        <f t="shared" si="115"/>
        <v>55648.375717818104</v>
      </c>
      <c r="AD206" s="159">
        <f t="shared" si="115"/>
        <v>58467.850220803331</v>
      </c>
      <c r="AE206" s="159">
        <f t="shared" si="115"/>
        <v>61299.212817283747</v>
      </c>
      <c r="AF206" s="159">
        <f t="shared" si="115"/>
        <v>64126.285705411014</v>
      </c>
      <c r="AG206" s="159">
        <f t="shared" si="115"/>
        <v>66966.525236976275</v>
      </c>
      <c r="AH206" s="188">
        <f t="shared" si="115"/>
        <v>69817.848716909808</v>
      </c>
    </row>
    <row r="207" spans="1:34">
      <c r="A207" s="1" t="s">
        <v>456</v>
      </c>
      <c r="C207" s="336"/>
      <c r="D207" s="336">
        <f>D200</f>
        <v>8873.7220000000016</v>
      </c>
      <c r="E207" s="336">
        <f>D207+E200</f>
        <v>18324.584904156854</v>
      </c>
      <c r="F207" s="336">
        <f>E207+F200</f>
        <v>28366.632817685982</v>
      </c>
      <c r="G207" s="336">
        <f t="shared" ref="G207:X207" si="116">F207+G200</f>
        <v>37671.157316071622</v>
      </c>
      <c r="H207" s="408">
        <f t="shared" si="116"/>
        <v>47086.648615679369</v>
      </c>
      <c r="I207" s="14">
        <f t="shared" si="116"/>
        <v>57240.606194475382</v>
      </c>
      <c r="J207" s="14">
        <f t="shared" si="116"/>
        <v>67551.475922343918</v>
      </c>
      <c r="K207" s="14">
        <f t="shared" si="116"/>
        <v>78166.01177251077</v>
      </c>
      <c r="L207" s="14">
        <f t="shared" si="116"/>
        <v>88358.623176772031</v>
      </c>
      <c r="M207" s="14">
        <f t="shared" si="116"/>
        <v>98394.853348869627</v>
      </c>
      <c r="N207" s="188">
        <f t="shared" si="116"/>
        <v>108749.57242640393</v>
      </c>
      <c r="O207" s="14">
        <f t="shared" si="116"/>
        <v>119152.33240242495</v>
      </c>
      <c r="P207" s="14">
        <f t="shared" si="116"/>
        <v>130056.55853717084</v>
      </c>
      <c r="Q207" s="14">
        <f t="shared" si="116"/>
        <v>141092.6878399399</v>
      </c>
      <c r="R207" s="14">
        <f t="shared" si="116"/>
        <v>152578.62706773955</v>
      </c>
      <c r="S207" s="14">
        <f t="shared" si="116"/>
        <v>164323.06663900762</v>
      </c>
      <c r="T207" s="14">
        <f t="shared" si="116"/>
        <v>176233.59073701699</v>
      </c>
      <c r="U207" s="14">
        <f t="shared" si="116"/>
        <v>188886.43499263193</v>
      </c>
      <c r="V207" s="14">
        <f t="shared" si="116"/>
        <v>201763.5220562263</v>
      </c>
      <c r="W207" s="14">
        <f t="shared" si="116"/>
        <v>215089.46100254476</v>
      </c>
      <c r="X207" s="188">
        <f t="shared" si="116"/>
        <v>228772.40552322884</v>
      </c>
      <c r="Y207" s="159">
        <f t="shared" ref="Y207:AH207" si="117">X207+Y200</f>
        <v>242405.87440964847</v>
      </c>
      <c r="Z207" s="159">
        <f t="shared" si="117"/>
        <v>256145.26461534732</v>
      </c>
      <c r="AA207" s="159">
        <f t="shared" si="117"/>
        <v>270108.01970207808</v>
      </c>
      <c r="AB207" s="159">
        <f t="shared" si="117"/>
        <v>284434.41885109915</v>
      </c>
      <c r="AC207" s="159">
        <f t="shared" si="117"/>
        <v>298839.01823646098</v>
      </c>
      <c r="AD207" s="159">
        <f t="shared" si="117"/>
        <v>313392.74956677598</v>
      </c>
      <c r="AE207" s="159">
        <f t="shared" si="117"/>
        <v>328136.65264356311</v>
      </c>
      <c r="AF207" s="159">
        <f t="shared" si="117"/>
        <v>343024.03030535288</v>
      </c>
      <c r="AG207" s="159">
        <f t="shared" si="117"/>
        <v>358424.34202788456</v>
      </c>
      <c r="AH207" s="188">
        <f t="shared" si="117"/>
        <v>374248.45511032757</v>
      </c>
    </row>
    <row r="208" spans="1:34">
      <c r="A208" s="1"/>
      <c r="C208" s="336"/>
      <c r="D208" s="336"/>
      <c r="E208" s="336"/>
      <c r="F208" s="336"/>
      <c r="G208" s="336"/>
      <c r="H208" s="408"/>
      <c r="I208" s="14"/>
      <c r="J208" s="14"/>
      <c r="K208" s="14"/>
      <c r="L208" s="14"/>
      <c r="M208" s="14"/>
      <c r="N208" s="188"/>
      <c r="O208" s="14"/>
      <c r="P208" s="14"/>
      <c r="Q208" s="14"/>
      <c r="R208" s="14"/>
      <c r="S208" s="14"/>
      <c r="T208" s="14"/>
      <c r="U208" s="14"/>
      <c r="V208" s="14"/>
      <c r="W208" s="14"/>
      <c r="X208" s="188"/>
    </row>
    <row r="209" spans="1:34">
      <c r="A209" s="1" t="s">
        <v>412</v>
      </c>
      <c r="C209" s="336"/>
      <c r="D209" s="336"/>
      <c r="E209" s="336"/>
      <c r="F209" s="336"/>
      <c r="G209" s="336"/>
      <c r="H209" s="408"/>
      <c r="I209" s="14"/>
      <c r="J209" s="14"/>
      <c r="K209" s="14"/>
      <c r="L209" s="14"/>
      <c r="M209" s="14"/>
      <c r="N209" s="188"/>
      <c r="O209" s="14"/>
      <c r="P209" s="14"/>
      <c r="Q209" s="14"/>
      <c r="R209" s="14"/>
      <c r="S209" s="14"/>
      <c r="T209" s="14"/>
      <c r="U209" s="14"/>
      <c r="V209" s="14"/>
      <c r="W209" s="14"/>
      <c r="X209" s="188"/>
    </row>
    <row r="210" spans="1:34" s="1" customFormat="1">
      <c r="A210" s="1" t="s">
        <v>409</v>
      </c>
      <c r="B210" s="13"/>
      <c r="C210" s="346">
        <f>SUM(C211:C212)</f>
        <v>0</v>
      </c>
      <c r="D210" s="346">
        <f t="shared" ref="D210:AH210" si="118">SUM(D211:D212)</f>
        <v>0</v>
      </c>
      <c r="E210" s="346">
        <f t="shared" si="118"/>
        <v>0</v>
      </c>
      <c r="F210" s="346">
        <f t="shared" si="118"/>
        <v>0</v>
      </c>
      <c r="G210" s="346">
        <f t="shared" si="118"/>
        <v>0</v>
      </c>
      <c r="H210" s="411">
        <f t="shared" si="118"/>
        <v>0</v>
      </c>
      <c r="I210" s="15">
        <f t="shared" si="118"/>
        <v>0</v>
      </c>
      <c r="J210" s="15">
        <f t="shared" si="118"/>
        <v>0</v>
      </c>
      <c r="K210" s="15">
        <f t="shared" si="118"/>
        <v>0</v>
      </c>
      <c r="L210" s="15">
        <f t="shared" si="118"/>
        <v>0</v>
      </c>
      <c r="M210" s="15">
        <f t="shared" si="118"/>
        <v>0</v>
      </c>
      <c r="N210" s="191">
        <f t="shared" si="118"/>
        <v>0</v>
      </c>
      <c r="O210" s="15">
        <f>SUM(O211:O212)</f>
        <v>0</v>
      </c>
      <c r="P210" s="15">
        <f t="shared" si="118"/>
        <v>0</v>
      </c>
      <c r="Q210" s="15">
        <f t="shared" si="118"/>
        <v>0</v>
      </c>
      <c r="R210" s="15">
        <f t="shared" si="118"/>
        <v>0</v>
      </c>
      <c r="S210" s="15">
        <f t="shared" si="118"/>
        <v>0</v>
      </c>
      <c r="T210" s="15">
        <f t="shared" si="118"/>
        <v>0</v>
      </c>
      <c r="U210" s="15">
        <f t="shared" si="118"/>
        <v>0</v>
      </c>
      <c r="V210" s="15">
        <f t="shared" si="118"/>
        <v>0</v>
      </c>
      <c r="W210" s="15">
        <f t="shared" si="118"/>
        <v>0</v>
      </c>
      <c r="X210" s="191">
        <f t="shared" si="118"/>
        <v>0</v>
      </c>
      <c r="Y210" s="131">
        <f t="shared" si="118"/>
        <v>0</v>
      </c>
      <c r="Z210" s="131">
        <f t="shared" si="118"/>
        <v>0</v>
      </c>
      <c r="AA210" s="131">
        <f t="shared" si="118"/>
        <v>0</v>
      </c>
      <c r="AB210" s="131">
        <f t="shared" si="118"/>
        <v>0</v>
      </c>
      <c r="AC210" s="131">
        <f t="shared" si="118"/>
        <v>0</v>
      </c>
      <c r="AD210" s="131">
        <f t="shared" si="118"/>
        <v>0</v>
      </c>
      <c r="AE210" s="131">
        <f t="shared" si="118"/>
        <v>0</v>
      </c>
      <c r="AF210" s="131">
        <f t="shared" si="118"/>
        <v>0</v>
      </c>
      <c r="AG210" s="131">
        <f t="shared" si="118"/>
        <v>0</v>
      </c>
      <c r="AH210" s="191">
        <f t="shared" si="118"/>
        <v>0</v>
      </c>
    </row>
    <row r="211" spans="1:34">
      <c r="A211" t="s">
        <v>410</v>
      </c>
      <c r="C211" s="336">
        <f>C100</f>
        <v>0</v>
      </c>
      <c r="D211" s="336">
        <f t="shared" ref="D211:AH211" si="119">D100</f>
        <v>0</v>
      </c>
      <c r="E211" s="336">
        <f t="shared" si="119"/>
        <v>0</v>
      </c>
      <c r="F211" s="336">
        <f t="shared" si="119"/>
        <v>0</v>
      </c>
      <c r="G211" s="336">
        <f t="shared" si="119"/>
        <v>0</v>
      </c>
      <c r="H211" s="408">
        <f t="shared" si="119"/>
        <v>0</v>
      </c>
      <c r="I211" s="14">
        <f t="shared" si="119"/>
        <v>0</v>
      </c>
      <c r="J211" s="14">
        <f t="shared" si="119"/>
        <v>0</v>
      </c>
      <c r="K211" s="14">
        <f t="shared" si="119"/>
        <v>0</v>
      </c>
      <c r="L211" s="14">
        <f t="shared" si="119"/>
        <v>0</v>
      </c>
      <c r="M211" s="14">
        <f t="shared" si="119"/>
        <v>0</v>
      </c>
      <c r="N211" s="188">
        <f t="shared" si="119"/>
        <v>0</v>
      </c>
      <c r="O211" s="14">
        <f>O100</f>
        <v>0</v>
      </c>
      <c r="P211" s="14">
        <f t="shared" si="119"/>
        <v>0</v>
      </c>
      <c r="Q211" s="14">
        <f t="shared" si="119"/>
        <v>0</v>
      </c>
      <c r="R211" s="14">
        <f t="shared" si="119"/>
        <v>0</v>
      </c>
      <c r="S211" s="14">
        <f t="shared" si="119"/>
        <v>0</v>
      </c>
      <c r="T211" s="14">
        <f t="shared" si="119"/>
        <v>0</v>
      </c>
      <c r="U211" s="14">
        <f t="shared" si="119"/>
        <v>0</v>
      </c>
      <c r="V211" s="14">
        <f t="shared" si="119"/>
        <v>0</v>
      </c>
      <c r="W211" s="14">
        <f t="shared" si="119"/>
        <v>0</v>
      </c>
      <c r="X211" s="188">
        <f t="shared" si="119"/>
        <v>0</v>
      </c>
      <c r="Y211" s="159">
        <f t="shared" si="119"/>
        <v>0</v>
      </c>
      <c r="Z211" s="159">
        <f t="shared" si="119"/>
        <v>0</v>
      </c>
      <c r="AA211" s="159">
        <f t="shared" si="119"/>
        <v>0</v>
      </c>
      <c r="AB211" s="159">
        <f t="shared" si="119"/>
        <v>0</v>
      </c>
      <c r="AC211" s="159">
        <f t="shared" si="119"/>
        <v>0</v>
      </c>
      <c r="AD211" s="159">
        <f t="shared" si="119"/>
        <v>0</v>
      </c>
      <c r="AE211" s="159">
        <f t="shared" si="119"/>
        <v>0</v>
      </c>
      <c r="AF211" s="159">
        <f t="shared" si="119"/>
        <v>0</v>
      </c>
      <c r="AG211" s="159">
        <f t="shared" si="119"/>
        <v>0</v>
      </c>
      <c r="AH211" s="188">
        <f t="shared" si="119"/>
        <v>0</v>
      </c>
    </row>
    <row r="212" spans="1:34">
      <c r="A212" t="s">
        <v>411</v>
      </c>
      <c r="C212" s="336">
        <f>C127</f>
        <v>0</v>
      </c>
      <c r="D212" s="336">
        <f t="shared" ref="D212:AH212" si="120">D127</f>
        <v>0</v>
      </c>
      <c r="E212" s="336">
        <f t="shared" si="120"/>
        <v>0</v>
      </c>
      <c r="F212" s="336">
        <f t="shared" si="120"/>
        <v>0</v>
      </c>
      <c r="G212" s="336">
        <f t="shared" si="120"/>
        <v>0</v>
      </c>
      <c r="H212" s="408">
        <f t="shared" si="120"/>
        <v>0</v>
      </c>
      <c r="I212" s="14">
        <f t="shared" si="120"/>
        <v>0</v>
      </c>
      <c r="J212" s="14">
        <f t="shared" si="120"/>
        <v>0</v>
      </c>
      <c r="K212" s="14">
        <f t="shared" si="120"/>
        <v>0</v>
      </c>
      <c r="L212" s="14">
        <f t="shared" si="120"/>
        <v>0</v>
      </c>
      <c r="M212" s="14">
        <f t="shared" si="120"/>
        <v>0</v>
      </c>
      <c r="N212" s="188">
        <f t="shared" si="120"/>
        <v>0</v>
      </c>
      <c r="O212" s="14">
        <f>O127</f>
        <v>0</v>
      </c>
      <c r="P212" s="14">
        <f t="shared" si="120"/>
        <v>0</v>
      </c>
      <c r="Q212" s="14">
        <f t="shared" si="120"/>
        <v>0</v>
      </c>
      <c r="R212" s="14">
        <f t="shared" si="120"/>
        <v>0</v>
      </c>
      <c r="S212" s="14">
        <f t="shared" si="120"/>
        <v>0</v>
      </c>
      <c r="T212" s="14">
        <f t="shared" si="120"/>
        <v>0</v>
      </c>
      <c r="U212" s="14">
        <f t="shared" si="120"/>
        <v>0</v>
      </c>
      <c r="V212" s="14">
        <f t="shared" si="120"/>
        <v>0</v>
      </c>
      <c r="W212" s="14">
        <f t="shared" si="120"/>
        <v>0</v>
      </c>
      <c r="X212" s="188">
        <f t="shared" si="120"/>
        <v>0</v>
      </c>
      <c r="Y212" s="159">
        <f t="shared" si="120"/>
        <v>0</v>
      </c>
      <c r="Z212" s="159">
        <f t="shared" si="120"/>
        <v>0</v>
      </c>
      <c r="AA212" s="159">
        <f t="shared" si="120"/>
        <v>0</v>
      </c>
      <c r="AB212" s="159">
        <f t="shared" si="120"/>
        <v>0</v>
      </c>
      <c r="AC212" s="159">
        <f t="shared" si="120"/>
        <v>0</v>
      </c>
      <c r="AD212" s="159">
        <f t="shared" si="120"/>
        <v>0</v>
      </c>
      <c r="AE212" s="159">
        <f t="shared" si="120"/>
        <v>0</v>
      </c>
      <c r="AF212" s="159">
        <f t="shared" si="120"/>
        <v>0</v>
      </c>
      <c r="AG212" s="159">
        <f t="shared" si="120"/>
        <v>0</v>
      </c>
      <c r="AH212" s="188">
        <f t="shared" si="120"/>
        <v>0</v>
      </c>
    </row>
    <row r="213" spans="1:34" s="1" customFormat="1">
      <c r="A213" s="1" t="s">
        <v>397</v>
      </c>
      <c r="B213" s="13"/>
      <c r="C213" s="346">
        <f>SUM(C214:C215)</f>
        <v>879.57186000000002</v>
      </c>
      <c r="D213" s="346">
        <f t="shared" ref="D213:AH213" si="121">SUM(D214:D215)</f>
        <v>1086.3144912396983</v>
      </c>
      <c r="E213" s="346">
        <f t="shared" si="121"/>
        <v>1342.1912023776372</v>
      </c>
      <c r="F213" s="346">
        <f t="shared" si="121"/>
        <v>1661.7292705263624</v>
      </c>
      <c r="G213" s="346">
        <f t="shared" si="121"/>
        <v>1820.0079977151131</v>
      </c>
      <c r="H213" s="411">
        <f t="shared" si="121"/>
        <v>1081.3403604686332</v>
      </c>
      <c r="I213" s="15">
        <f t="shared" si="121"/>
        <v>1355.3379480989586</v>
      </c>
      <c r="J213" s="15">
        <f t="shared" si="121"/>
        <v>1656.2443215270764</v>
      </c>
      <c r="K213" s="15">
        <f t="shared" si="121"/>
        <v>1997.9396843917521</v>
      </c>
      <c r="L213" s="15">
        <f t="shared" si="121"/>
        <v>2345.0278218720377</v>
      </c>
      <c r="M213" s="15">
        <f t="shared" si="121"/>
        <v>2800.3492991333846</v>
      </c>
      <c r="N213" s="191">
        <f t="shared" si="121"/>
        <v>3423.4543308890411</v>
      </c>
      <c r="O213" s="15">
        <f t="shared" si="121"/>
        <v>3671.9889585567635</v>
      </c>
      <c r="P213" s="15">
        <f t="shared" si="121"/>
        <v>3978.1850737983009</v>
      </c>
      <c r="Q213" s="15">
        <f t="shared" si="121"/>
        <v>4232.6949333168259</v>
      </c>
      <c r="R213" s="15">
        <f t="shared" si="121"/>
        <v>4566.5424047478473</v>
      </c>
      <c r="S213" s="15">
        <f t="shared" si="121"/>
        <v>4877.4714716717299</v>
      </c>
      <c r="T213" s="15">
        <f t="shared" si="121"/>
        <v>5181.1573459159081</v>
      </c>
      <c r="U213" s="15">
        <f t="shared" si="121"/>
        <v>5654.6433422127157</v>
      </c>
      <c r="V213" s="15">
        <f t="shared" si="121"/>
        <v>6027.3258657698188</v>
      </c>
      <c r="W213" s="15">
        <f t="shared" si="121"/>
        <v>6492.8894759412124</v>
      </c>
      <c r="X213" s="191">
        <f t="shared" si="121"/>
        <v>6959.9683112333678</v>
      </c>
      <c r="Y213" s="131">
        <f t="shared" si="121"/>
        <v>6954.816404804782</v>
      </c>
      <c r="Z213" s="131">
        <f t="shared" si="121"/>
        <v>6991.8717003145202</v>
      </c>
      <c r="AA213" s="131">
        <f t="shared" si="121"/>
        <v>7063.7118659782036</v>
      </c>
      <c r="AB213" s="131">
        <f t="shared" si="121"/>
        <v>7186.4813827258076</v>
      </c>
      <c r="AC213" s="131">
        <f t="shared" si="121"/>
        <v>7221.4930550148511</v>
      </c>
      <c r="AD213" s="131">
        <f t="shared" si="121"/>
        <v>7291.061921621038</v>
      </c>
      <c r="AE213" s="131">
        <f t="shared" si="121"/>
        <v>7377.2808236673627</v>
      </c>
      <c r="AF213" s="131">
        <f t="shared" si="121"/>
        <v>7462.396351396088</v>
      </c>
      <c r="AG213" s="131">
        <f t="shared" si="121"/>
        <v>7670.7553766320707</v>
      </c>
      <c r="AH213" s="191">
        <f t="shared" si="121"/>
        <v>7839.7765099591434</v>
      </c>
    </row>
    <row r="214" spans="1:34">
      <c r="A214" t="s">
        <v>398</v>
      </c>
      <c r="C214" s="336">
        <f>C115</f>
        <v>462.93270000000001</v>
      </c>
      <c r="D214" s="336">
        <f t="shared" ref="D214:AH214" si="122">D115</f>
        <v>571.7446266297834</v>
      </c>
      <c r="E214" s="336">
        <f t="shared" si="122"/>
        <v>706.41659398902675</v>
      </c>
      <c r="F214" s="336">
        <f t="shared" si="122"/>
        <v>874.59454242021752</v>
      </c>
      <c r="G214" s="336">
        <f t="shared" si="122"/>
        <v>957.89914040215046</v>
      </c>
      <c r="H214" s="408">
        <f t="shared" si="122"/>
        <v>569.12664761507006</v>
      </c>
      <c r="I214" s="14">
        <f t="shared" si="122"/>
        <v>713.33592358817737</v>
      </c>
      <c r="J214" s="14">
        <f t="shared" si="122"/>
        <v>871.7077147049099</v>
      </c>
      <c r="K214" s="14">
        <f t="shared" si="122"/>
        <v>1051.5473962796182</v>
      </c>
      <c r="L214" s="14">
        <f t="shared" si="122"/>
        <v>1234.2253742280086</v>
      </c>
      <c r="M214" s="14">
        <f t="shared" si="122"/>
        <v>1473.8682717635556</v>
      </c>
      <c r="N214" s="183">
        <f t="shared" si="122"/>
        <v>1801.8183094329361</v>
      </c>
      <c r="O214" s="14">
        <f t="shared" si="122"/>
        <v>1932.6260256683404</v>
      </c>
      <c r="P214" s="14">
        <f t="shared" si="122"/>
        <v>2093.7818973098838</v>
      </c>
      <c r="Q214" s="14">
        <f t="shared" si="122"/>
        <v>2227.7344728339726</v>
      </c>
      <c r="R214" s="14">
        <f t="shared" si="122"/>
        <v>2403.4436917812836</v>
      </c>
      <c r="S214" s="14">
        <f t="shared" si="122"/>
        <v>2567.0905909566145</v>
      </c>
      <c r="T214" s="14">
        <f t="shared" si="122"/>
        <v>2726.9252829494853</v>
      </c>
      <c r="U214" s="14">
        <f t="shared" si="122"/>
        <v>2976.128472163969</v>
      </c>
      <c r="V214" s="14">
        <f t="shared" si="122"/>
        <v>3172.2771949589578</v>
      </c>
      <c r="W214" s="14">
        <f t="shared" si="122"/>
        <v>3417.3107067086735</v>
      </c>
      <c r="X214" s="188">
        <f t="shared" si="122"/>
        <v>3663.1417054705184</v>
      </c>
      <c r="Y214" s="159">
        <f t="shared" si="122"/>
        <v>3660.4301754092712</v>
      </c>
      <c r="Z214" s="159">
        <f t="shared" si="122"/>
        <v>3679.9329651232961</v>
      </c>
      <c r="AA214" s="159">
        <f t="shared" si="122"/>
        <v>3717.7435836782411</v>
      </c>
      <c r="AB214" s="159">
        <f t="shared" si="122"/>
        <v>3782.3591274347773</v>
      </c>
      <c r="AC214" s="159">
        <f t="shared" si="122"/>
        <v>3800.7863258364232</v>
      </c>
      <c r="AD214" s="159">
        <f t="shared" si="122"/>
        <v>3837.4015236752011</v>
      </c>
      <c r="AE214" s="159">
        <f t="shared" si="122"/>
        <v>3882.779899231311</v>
      </c>
      <c r="AF214" s="159">
        <f t="shared" si="122"/>
        <v>3927.5775513848412</v>
      </c>
      <c r="AG214" s="159">
        <f t="shared" si="122"/>
        <v>4037.2402108859242</v>
      </c>
      <c r="AH214" s="188">
        <f t="shared" si="122"/>
        <v>4126.1987139867206</v>
      </c>
    </row>
    <row r="215" spans="1:34">
      <c r="A215" t="s">
        <v>399</v>
      </c>
      <c r="C215" s="336">
        <f>C142</f>
        <v>416.63916</v>
      </c>
      <c r="D215" s="336">
        <f t="shared" ref="D215:AH215" si="123">D142</f>
        <v>514.56986460991504</v>
      </c>
      <c r="E215" s="336">
        <f t="shared" si="123"/>
        <v>635.77460838861043</v>
      </c>
      <c r="F215" s="336">
        <f t="shared" si="123"/>
        <v>787.13472810614485</v>
      </c>
      <c r="G215" s="336">
        <f t="shared" si="123"/>
        <v>862.10885731296275</v>
      </c>
      <c r="H215" s="408">
        <f t="shared" si="123"/>
        <v>512.21371285356304</v>
      </c>
      <c r="I215" s="14">
        <f t="shared" si="123"/>
        <v>642.00202451078121</v>
      </c>
      <c r="J215" s="14">
        <f t="shared" si="123"/>
        <v>784.53660682216662</v>
      </c>
      <c r="K215" s="14">
        <f t="shared" si="123"/>
        <v>946.392288112134</v>
      </c>
      <c r="L215" s="14">
        <f t="shared" si="123"/>
        <v>1110.8024476440289</v>
      </c>
      <c r="M215" s="14">
        <f t="shared" si="123"/>
        <v>1326.481027369829</v>
      </c>
      <c r="N215" s="183">
        <f t="shared" si="123"/>
        <v>1621.636021456105</v>
      </c>
      <c r="O215" s="14">
        <f t="shared" si="123"/>
        <v>1739.3629328884228</v>
      </c>
      <c r="P215" s="14">
        <f t="shared" si="123"/>
        <v>1884.4031764884171</v>
      </c>
      <c r="Q215" s="14">
        <f t="shared" si="123"/>
        <v>2004.9604604828533</v>
      </c>
      <c r="R215" s="14">
        <f t="shared" si="123"/>
        <v>2163.0987129665637</v>
      </c>
      <c r="S215" s="14">
        <f t="shared" si="123"/>
        <v>2310.3808807151149</v>
      </c>
      <c r="T215" s="14">
        <f t="shared" si="123"/>
        <v>2454.2320629664227</v>
      </c>
      <c r="U215" s="14">
        <f t="shared" si="123"/>
        <v>2678.5148700487471</v>
      </c>
      <c r="V215" s="14">
        <f t="shared" si="123"/>
        <v>2855.0486708108606</v>
      </c>
      <c r="W215" s="14">
        <f t="shared" si="123"/>
        <v>3075.5787692325389</v>
      </c>
      <c r="X215" s="188">
        <f t="shared" si="123"/>
        <v>3296.8266057628493</v>
      </c>
      <c r="Y215" s="159">
        <f t="shared" si="123"/>
        <v>3294.3862293955108</v>
      </c>
      <c r="Z215" s="159">
        <f t="shared" si="123"/>
        <v>3311.9387351912242</v>
      </c>
      <c r="AA215" s="159">
        <f t="shared" si="123"/>
        <v>3345.9682822999625</v>
      </c>
      <c r="AB215" s="159">
        <f t="shared" si="123"/>
        <v>3404.1222552910303</v>
      </c>
      <c r="AC215" s="159">
        <f t="shared" si="123"/>
        <v>3420.7067291784283</v>
      </c>
      <c r="AD215" s="159">
        <f t="shared" si="123"/>
        <v>3453.6603979458364</v>
      </c>
      <c r="AE215" s="159">
        <f t="shared" si="123"/>
        <v>3494.5009244360517</v>
      </c>
      <c r="AF215" s="159">
        <f t="shared" si="123"/>
        <v>3534.8188000112464</v>
      </c>
      <c r="AG215" s="159">
        <f t="shared" si="123"/>
        <v>3633.5151657461461</v>
      </c>
      <c r="AH215" s="188">
        <f t="shared" si="123"/>
        <v>3713.5777959724232</v>
      </c>
    </row>
    <row r="216" spans="1:34">
      <c r="A216" t="s">
        <v>400</v>
      </c>
      <c r="C216" s="336">
        <f>SUM(C217:C218)</f>
        <v>7925.9041500000003</v>
      </c>
      <c r="D216" s="336">
        <f t="shared" ref="D216:AH216" si="124">SUM(D217:D218)</f>
        <v>8185.5785577059796</v>
      </c>
      <c r="E216" s="336">
        <f t="shared" si="124"/>
        <v>8307.7210956856106</v>
      </c>
      <c r="F216" s="336">
        <f t="shared" si="124"/>
        <v>8540.457745988022</v>
      </c>
      <c r="G216" s="336">
        <f t="shared" si="124"/>
        <v>8151.3725572408166</v>
      </c>
      <c r="H216" s="408">
        <f t="shared" si="124"/>
        <v>7636.7006234780001</v>
      </c>
      <c r="I216" s="14">
        <f t="shared" si="124"/>
        <v>8163.5112442943127</v>
      </c>
      <c r="J216" s="14">
        <f t="shared" si="124"/>
        <v>8425.649837386296</v>
      </c>
      <c r="K216" s="14">
        <f t="shared" si="124"/>
        <v>8685.8062613632319</v>
      </c>
      <c r="L216" s="14">
        <f t="shared" si="124"/>
        <v>8630.7756304939467</v>
      </c>
      <c r="M216" s="14">
        <f t="shared" si="124"/>
        <v>8707.1639975923572</v>
      </c>
      <c r="N216" s="191">
        <f t="shared" si="124"/>
        <v>8975.449722908601</v>
      </c>
      <c r="O216" s="14">
        <f t="shared" si="124"/>
        <v>8979.975915888248</v>
      </c>
      <c r="P216" s="14">
        <f t="shared" si="124"/>
        <v>9072.3636542376571</v>
      </c>
      <c r="Q216" s="14">
        <f t="shared" si="124"/>
        <v>8998.9018758803504</v>
      </c>
      <c r="R216" s="14">
        <f t="shared" si="124"/>
        <v>9048.3254867790711</v>
      </c>
      <c r="S216" s="15">
        <f t="shared" si="124"/>
        <v>9004.3042302031899</v>
      </c>
      <c r="T216" s="14">
        <f t="shared" si="124"/>
        <v>8908.7881360590109</v>
      </c>
      <c r="U216" s="14">
        <f t="shared" si="124"/>
        <v>9052.95055649405</v>
      </c>
      <c r="V216" s="14">
        <f t="shared" si="124"/>
        <v>8981.6056758057675</v>
      </c>
      <c r="W216" s="14">
        <f t="shared" si="124"/>
        <v>9002.3800423249704</v>
      </c>
      <c r="X216" s="188">
        <f t="shared" si="124"/>
        <v>8975.4507039175405</v>
      </c>
      <c r="Y216" s="159">
        <f t="shared" si="124"/>
        <v>8878.47015596442</v>
      </c>
      <c r="Z216" s="159">
        <f t="shared" si="124"/>
        <v>8834.9566318576763</v>
      </c>
      <c r="AA216" s="159">
        <f t="shared" si="124"/>
        <v>8833.9829537176283</v>
      </c>
      <c r="AB216" s="159">
        <f t="shared" si="124"/>
        <v>8894.1744755012223</v>
      </c>
      <c r="AC216" s="159">
        <f t="shared" si="124"/>
        <v>8843.7051942474318</v>
      </c>
      <c r="AD216" s="159">
        <f t="shared" si="124"/>
        <v>8834.1975141923085</v>
      </c>
      <c r="AE216" s="159">
        <f t="shared" si="124"/>
        <v>8842.8402677753438</v>
      </c>
      <c r="AF216" s="159">
        <f t="shared" si="124"/>
        <v>8847.934973909285</v>
      </c>
      <c r="AG216" s="159">
        <f t="shared" si="124"/>
        <v>8995.343755675618</v>
      </c>
      <c r="AH216" s="188">
        <f t="shared" si="124"/>
        <v>9091.719941222811</v>
      </c>
    </row>
    <row r="217" spans="1:34">
      <c r="A217" t="s">
        <v>401</v>
      </c>
      <c r="C217" s="336">
        <f>C114</f>
        <v>4171.5285000000003</v>
      </c>
      <c r="D217" s="336">
        <f t="shared" ref="D217:AH217" si="125">D114</f>
        <v>4308.199240897884</v>
      </c>
      <c r="E217" s="336">
        <f t="shared" si="125"/>
        <v>4372.4847872029522</v>
      </c>
      <c r="F217" s="336">
        <f t="shared" si="125"/>
        <v>4494.977761046327</v>
      </c>
      <c r="G217" s="336">
        <f t="shared" si="125"/>
        <v>4290.1960827583243</v>
      </c>
      <c r="H217" s="408">
        <f t="shared" si="125"/>
        <v>4019.3161176200001</v>
      </c>
      <c r="I217" s="14">
        <f t="shared" si="125"/>
        <v>4296.5848654180591</v>
      </c>
      <c r="J217" s="14">
        <f t="shared" si="125"/>
        <v>4434.5525459927876</v>
      </c>
      <c r="K217" s="14">
        <f t="shared" si="125"/>
        <v>4571.4769796648588</v>
      </c>
      <c r="L217" s="14">
        <f t="shared" si="125"/>
        <v>4542.5134897336557</v>
      </c>
      <c r="M217" s="14">
        <f t="shared" si="125"/>
        <v>4582.7178934696612</v>
      </c>
      <c r="N217" s="188">
        <f t="shared" si="125"/>
        <v>4723.9209067940001</v>
      </c>
      <c r="O217" s="14">
        <f t="shared" si="125"/>
        <v>4726.303113625394</v>
      </c>
      <c r="P217" s="14">
        <f t="shared" si="125"/>
        <v>4774.9282390724511</v>
      </c>
      <c r="Q217" s="14">
        <f t="shared" si="125"/>
        <v>4736.2641452001844</v>
      </c>
      <c r="R217" s="14">
        <f t="shared" si="125"/>
        <v>4762.276571988984</v>
      </c>
      <c r="S217" s="14">
        <f t="shared" si="125"/>
        <v>4739.107489580626</v>
      </c>
      <c r="T217" s="14">
        <f t="shared" si="125"/>
        <v>4688.8358610836895</v>
      </c>
      <c r="U217" s="14">
        <f t="shared" si="125"/>
        <v>4764.7108192073947</v>
      </c>
      <c r="V217" s="14">
        <f t="shared" si="125"/>
        <v>4727.1608820030351</v>
      </c>
      <c r="W217" s="14">
        <f t="shared" si="125"/>
        <v>4738.0947591184049</v>
      </c>
      <c r="X217" s="188">
        <f t="shared" si="125"/>
        <v>4723.9214231144952</v>
      </c>
      <c r="Y217" s="159">
        <f t="shared" si="125"/>
        <v>4672.8790294549572</v>
      </c>
      <c r="Z217" s="159">
        <f t="shared" si="125"/>
        <v>4649.9771746619344</v>
      </c>
      <c r="AA217" s="159">
        <f t="shared" si="125"/>
        <v>4649.4647124829626</v>
      </c>
      <c r="AB217" s="159">
        <f t="shared" si="125"/>
        <v>4681.1444607901167</v>
      </c>
      <c r="AC217" s="159">
        <f t="shared" si="125"/>
        <v>4654.5816811828581</v>
      </c>
      <c r="AD217" s="159">
        <f t="shared" si="125"/>
        <v>4649.5776390485835</v>
      </c>
      <c r="AE217" s="159">
        <f t="shared" si="125"/>
        <v>4654.126456723865</v>
      </c>
      <c r="AF217" s="159">
        <f t="shared" si="125"/>
        <v>4656.8078810048864</v>
      </c>
      <c r="AG217" s="159">
        <f t="shared" si="125"/>
        <v>4734.3914503555889</v>
      </c>
      <c r="AH217" s="188">
        <f t="shared" si="125"/>
        <v>4785.1157585383216</v>
      </c>
    </row>
    <row r="218" spans="1:34">
      <c r="A218" t="s">
        <v>402</v>
      </c>
      <c r="C218" s="336">
        <f>C141</f>
        <v>3754.3756500000004</v>
      </c>
      <c r="D218" s="336">
        <f t="shared" ref="D218:AH218" si="126">D141</f>
        <v>3877.3793168080956</v>
      </c>
      <c r="E218" s="336">
        <f t="shared" si="126"/>
        <v>3935.2363084826575</v>
      </c>
      <c r="F218" s="336">
        <f t="shared" si="126"/>
        <v>4045.4799849416945</v>
      </c>
      <c r="G218" s="336">
        <f t="shared" si="126"/>
        <v>3861.1764744824918</v>
      </c>
      <c r="H218" s="408">
        <f t="shared" si="126"/>
        <v>3617.384505858</v>
      </c>
      <c r="I218" s="14">
        <f t="shared" si="126"/>
        <v>3866.9263788762537</v>
      </c>
      <c r="J218" s="14">
        <f t="shared" si="126"/>
        <v>3991.0972913935093</v>
      </c>
      <c r="K218" s="14">
        <f t="shared" si="126"/>
        <v>4114.3292816983731</v>
      </c>
      <c r="L218" s="14">
        <f t="shared" si="126"/>
        <v>4088.2621407602905</v>
      </c>
      <c r="M218" s="14">
        <f t="shared" si="126"/>
        <v>4124.446104122695</v>
      </c>
      <c r="N218" s="188">
        <f t="shared" si="126"/>
        <v>4251.5288161146009</v>
      </c>
      <c r="O218" s="14">
        <f t="shared" si="126"/>
        <v>4253.672802262854</v>
      </c>
      <c r="P218" s="14">
        <f t="shared" si="126"/>
        <v>4297.435415165206</v>
      </c>
      <c r="Q218" s="14">
        <f t="shared" si="126"/>
        <v>4262.637730680166</v>
      </c>
      <c r="R218" s="14">
        <f t="shared" si="126"/>
        <v>4286.0489147900862</v>
      </c>
      <c r="S218" s="14">
        <f t="shared" si="126"/>
        <v>4265.196740622564</v>
      </c>
      <c r="T218" s="14">
        <f t="shared" si="126"/>
        <v>4219.9522749753205</v>
      </c>
      <c r="U218" s="14">
        <f t="shared" si="126"/>
        <v>4288.2397372866553</v>
      </c>
      <c r="V218" s="14">
        <f t="shared" si="126"/>
        <v>4254.4447938027315</v>
      </c>
      <c r="W218" s="14">
        <f t="shared" si="126"/>
        <v>4264.2852832065646</v>
      </c>
      <c r="X218" s="188">
        <f t="shared" si="126"/>
        <v>4251.5292808030454</v>
      </c>
      <c r="Y218" s="159">
        <f t="shared" si="126"/>
        <v>4205.5911265094619</v>
      </c>
      <c r="Z218" s="159">
        <f t="shared" si="126"/>
        <v>4184.9794571957409</v>
      </c>
      <c r="AA218" s="159">
        <f t="shared" si="126"/>
        <v>4184.5182412346658</v>
      </c>
      <c r="AB218" s="159">
        <f t="shared" si="126"/>
        <v>4213.0300147111057</v>
      </c>
      <c r="AC218" s="159">
        <f t="shared" si="126"/>
        <v>4189.1235130645728</v>
      </c>
      <c r="AD218" s="159">
        <f t="shared" si="126"/>
        <v>4184.619875143725</v>
      </c>
      <c r="AE218" s="159">
        <f t="shared" si="126"/>
        <v>4188.7138110514788</v>
      </c>
      <c r="AF218" s="159">
        <f t="shared" si="126"/>
        <v>4191.1270929043985</v>
      </c>
      <c r="AG218" s="159">
        <f t="shared" si="126"/>
        <v>4260.9523053200301</v>
      </c>
      <c r="AH218" s="188">
        <f t="shared" si="126"/>
        <v>4306.6041826844894</v>
      </c>
    </row>
    <row r="219" spans="1:34" s="1" customFormat="1">
      <c r="A219" s="1" t="s">
        <v>394</v>
      </c>
      <c r="B219" s="13"/>
      <c r="C219" s="346">
        <f>SUM(C220:C221)</f>
        <v>7903.1260000000038</v>
      </c>
      <c r="D219" s="346">
        <f t="shared" ref="D219:AH219" si="127">SUM(D220:D221)</f>
        <v>8179.0753145859317</v>
      </c>
      <c r="E219" s="346">
        <f t="shared" si="127"/>
        <v>8578.6997194620999</v>
      </c>
      <c r="F219" s="346">
        <f t="shared" si="127"/>
        <v>8852.5426741475676</v>
      </c>
      <c r="G219" s="346">
        <f t="shared" si="127"/>
        <v>8437.0562696681664</v>
      </c>
      <c r="H219" s="411">
        <f t="shared" si="127"/>
        <v>9385.6895512600458</v>
      </c>
      <c r="I219" s="15">
        <f t="shared" si="127"/>
        <v>9924.6665373516735</v>
      </c>
      <c r="J219" s="15">
        <f t="shared" si="127"/>
        <v>10097.46757424781</v>
      </c>
      <c r="K219" s="15">
        <f t="shared" si="127"/>
        <v>10240.170521806318</v>
      </c>
      <c r="L219" s="15">
        <f t="shared" si="127"/>
        <v>9963.1272891722983</v>
      </c>
      <c r="M219" s="15">
        <f t="shared" si="127"/>
        <v>9804.8150916243285</v>
      </c>
      <c r="N219" s="191">
        <f t="shared" si="127"/>
        <v>9808.8157625604235</v>
      </c>
      <c r="O219" s="15">
        <f t="shared" si="127"/>
        <v>9988.1936584771265</v>
      </c>
      <c r="P219" s="15">
        <f t="shared" si="127"/>
        <v>10271.111522078507</v>
      </c>
      <c r="Q219" s="15">
        <f t="shared" si="127"/>
        <v>10363.898738519636</v>
      </c>
      <c r="R219" s="15">
        <f t="shared" si="127"/>
        <v>10599.982292199522</v>
      </c>
      <c r="S219" s="15">
        <f t="shared" si="127"/>
        <v>10737.097310716035</v>
      </c>
      <c r="T219" s="15">
        <f t="shared" si="127"/>
        <v>10819.886307203338</v>
      </c>
      <c r="U219" s="15">
        <f t="shared" si="127"/>
        <v>11183.449734900902</v>
      </c>
      <c r="V219" s="15">
        <f t="shared" si="127"/>
        <v>11271.901791803039</v>
      </c>
      <c r="W219" s="15">
        <f t="shared" si="127"/>
        <v>11467.658662965128</v>
      </c>
      <c r="X219" s="191">
        <f t="shared" si="127"/>
        <v>11598.602195546739</v>
      </c>
      <c r="Y219" s="131">
        <f t="shared" si="127"/>
        <v>11661.360609387364</v>
      </c>
      <c r="Z219" s="131">
        <f t="shared" si="127"/>
        <v>11795.501636152538</v>
      </c>
      <c r="AA219" s="131">
        <f t="shared" si="127"/>
        <v>11991.995477159155</v>
      </c>
      <c r="AB219" s="131">
        <f t="shared" si="127"/>
        <v>12274.624682337735</v>
      </c>
      <c r="AC219" s="131">
        <f t="shared" si="127"/>
        <v>12408.270238887046</v>
      </c>
      <c r="AD219" s="131">
        <f t="shared" si="127"/>
        <v>12602.526067154356</v>
      </c>
      <c r="AE219" s="131">
        <f t="shared" si="127"/>
        <v>12826.290204045265</v>
      </c>
      <c r="AF219" s="131">
        <f t="shared" si="127"/>
        <v>13050.148741777473</v>
      </c>
      <c r="AG219" s="131">
        <f t="shared" si="127"/>
        <v>13493.645250221103</v>
      </c>
      <c r="AH219" s="191">
        <f t="shared" si="127"/>
        <v>13871.809406348279</v>
      </c>
    </row>
    <row r="220" spans="1:34">
      <c r="A220" t="s">
        <v>403</v>
      </c>
      <c r="C220" s="336">
        <f>SUM(C116:C117)</f>
        <v>4159.5400000000018</v>
      </c>
      <c r="D220" s="336">
        <f t="shared" ref="D220:AH220" si="128">SUM(D116:D117)</f>
        <v>4304.7764813610165</v>
      </c>
      <c r="E220" s="336">
        <f t="shared" si="128"/>
        <v>4515.1051155063687</v>
      </c>
      <c r="F220" s="336">
        <f t="shared" si="128"/>
        <v>4659.2329863934565</v>
      </c>
      <c r="G220" s="336">
        <f t="shared" si="128"/>
        <v>4440.5559314042985</v>
      </c>
      <c r="H220" s="408">
        <f t="shared" si="128"/>
        <v>4939.8366059263399</v>
      </c>
      <c r="I220" s="14">
        <f t="shared" si="128"/>
        <v>5223.5087038693018</v>
      </c>
      <c r="J220" s="14">
        <f t="shared" si="128"/>
        <v>5314.4566180251641</v>
      </c>
      <c r="K220" s="14">
        <f t="shared" si="128"/>
        <v>5389.5634325296405</v>
      </c>
      <c r="L220" s="14">
        <f t="shared" si="128"/>
        <v>5243.7512048275257</v>
      </c>
      <c r="M220" s="14">
        <f t="shared" si="128"/>
        <v>5160.428995591752</v>
      </c>
      <c r="N220" s="188">
        <f t="shared" si="128"/>
        <v>5162.5346118739071</v>
      </c>
      <c r="O220" s="14">
        <f t="shared" si="128"/>
        <v>5256.9440307774348</v>
      </c>
      <c r="P220" s="14">
        <f t="shared" si="128"/>
        <v>5405.848169515004</v>
      </c>
      <c r="Q220" s="14">
        <f t="shared" si="128"/>
        <v>5454.6835465892818</v>
      </c>
      <c r="R220" s="14">
        <f t="shared" si="128"/>
        <v>5578.9380485260644</v>
      </c>
      <c r="S220" s="14">
        <f t="shared" si="128"/>
        <v>5651.1038477452821</v>
      </c>
      <c r="T220" s="14">
        <f t="shared" si="128"/>
        <v>5694.6770037912302</v>
      </c>
      <c r="U220" s="14">
        <f t="shared" si="128"/>
        <v>5886.0261762636328</v>
      </c>
      <c r="V220" s="14">
        <f t="shared" si="128"/>
        <v>5932.5798904226522</v>
      </c>
      <c r="W220" s="14">
        <f t="shared" si="128"/>
        <v>6035.6098226132253</v>
      </c>
      <c r="X220" s="188">
        <f t="shared" si="128"/>
        <v>6104.5274713403887</v>
      </c>
      <c r="Y220" s="159">
        <f t="shared" si="128"/>
        <v>6137.5582154670337</v>
      </c>
      <c r="Z220" s="159">
        <f t="shared" si="128"/>
        <v>6208.1587558697565</v>
      </c>
      <c r="AA220" s="159">
        <f t="shared" si="128"/>
        <v>6311.5765669258708</v>
      </c>
      <c r="AB220" s="159">
        <f t="shared" si="128"/>
        <v>6460.3287801777551</v>
      </c>
      <c r="AC220" s="159">
        <f t="shared" si="128"/>
        <v>6530.6685467826555</v>
      </c>
      <c r="AD220" s="159">
        <f t="shared" si="128"/>
        <v>6632.90845639703</v>
      </c>
      <c r="AE220" s="159">
        <f t="shared" si="128"/>
        <v>6750.6790547606652</v>
      </c>
      <c r="AF220" s="159">
        <f t="shared" si="128"/>
        <v>6868.4993377776182</v>
      </c>
      <c r="AG220" s="159">
        <f t="shared" si="128"/>
        <v>7101.9185527479494</v>
      </c>
      <c r="AH220" s="188">
        <f t="shared" si="128"/>
        <v>7300.9523191306725</v>
      </c>
    </row>
    <row r="221" spans="1:34">
      <c r="A221" t="s">
        <v>404</v>
      </c>
      <c r="C221" s="336">
        <f>SUM(C143:C144)</f>
        <v>3743.5860000000016</v>
      </c>
      <c r="D221" s="336">
        <f t="shared" ref="D221:AH221" si="129">SUM(D143:D144)</f>
        <v>3874.2988332249151</v>
      </c>
      <c r="E221" s="336">
        <f t="shared" si="129"/>
        <v>4063.5946039557321</v>
      </c>
      <c r="F221" s="336">
        <f t="shared" si="129"/>
        <v>4193.3096877541102</v>
      </c>
      <c r="G221" s="336">
        <f t="shared" si="129"/>
        <v>3996.5003382638688</v>
      </c>
      <c r="H221" s="408">
        <f t="shared" si="129"/>
        <v>4445.852945333706</v>
      </c>
      <c r="I221" s="14">
        <f t="shared" si="129"/>
        <v>4701.1578334823726</v>
      </c>
      <c r="J221" s="14">
        <f t="shared" si="129"/>
        <v>4783.0109562226471</v>
      </c>
      <c r="K221" s="14">
        <f t="shared" si="129"/>
        <v>4850.6070892766766</v>
      </c>
      <c r="L221" s="14">
        <f t="shared" si="129"/>
        <v>4719.3760843447726</v>
      </c>
      <c r="M221" s="14">
        <f t="shared" si="129"/>
        <v>4644.3860960325765</v>
      </c>
      <c r="N221" s="188">
        <f t="shared" si="129"/>
        <v>4646.2811506865164</v>
      </c>
      <c r="O221" s="14">
        <f t="shared" si="129"/>
        <v>4731.2496276996917</v>
      </c>
      <c r="P221" s="14">
        <f t="shared" si="129"/>
        <v>4865.2633525635028</v>
      </c>
      <c r="Q221" s="14">
        <f t="shared" si="129"/>
        <v>4909.2151919303542</v>
      </c>
      <c r="R221" s="14">
        <f t="shared" si="129"/>
        <v>5021.0442436734575</v>
      </c>
      <c r="S221" s="14">
        <f t="shared" si="129"/>
        <v>5085.9934629707541</v>
      </c>
      <c r="T221" s="14">
        <f t="shared" si="129"/>
        <v>5125.2093034121081</v>
      </c>
      <c r="U221" s="14">
        <f t="shared" si="129"/>
        <v>5297.4235586372688</v>
      </c>
      <c r="V221" s="14">
        <f t="shared" si="129"/>
        <v>5339.3219013803864</v>
      </c>
      <c r="W221" s="14">
        <f t="shared" si="129"/>
        <v>5432.048840351903</v>
      </c>
      <c r="X221" s="188">
        <f t="shared" si="129"/>
        <v>5494.0747242063499</v>
      </c>
      <c r="Y221" s="159">
        <f t="shared" si="129"/>
        <v>5523.8023939203304</v>
      </c>
      <c r="Z221" s="159">
        <f t="shared" si="129"/>
        <v>5587.3428802827812</v>
      </c>
      <c r="AA221" s="159">
        <f t="shared" si="129"/>
        <v>5680.4189102332839</v>
      </c>
      <c r="AB221" s="159">
        <f t="shared" si="129"/>
        <v>5814.29590215998</v>
      </c>
      <c r="AC221" s="159">
        <f t="shared" si="129"/>
        <v>5877.6016921043902</v>
      </c>
      <c r="AD221" s="159">
        <f t="shared" si="129"/>
        <v>5969.6176107573265</v>
      </c>
      <c r="AE221" s="159">
        <f t="shared" si="129"/>
        <v>6075.6111492845994</v>
      </c>
      <c r="AF221" s="159">
        <f t="shared" si="129"/>
        <v>6181.6494039998561</v>
      </c>
      <c r="AG221" s="159">
        <f t="shared" si="129"/>
        <v>6391.7266974731538</v>
      </c>
      <c r="AH221" s="188">
        <f t="shared" si="129"/>
        <v>6570.857087217606</v>
      </c>
    </row>
    <row r="222" spans="1:34">
      <c r="A222" s="1" t="s">
        <v>426</v>
      </c>
      <c r="C222" s="336">
        <f>SUM(C210,C213,C216,C219)</f>
        <v>16708.602010000002</v>
      </c>
      <c r="D222" s="336">
        <f t="shared" ref="D222:AH222" si="130">SUM(D210,D213,D216,D219)</f>
        <v>17450.968363531611</v>
      </c>
      <c r="E222" s="336">
        <f t="shared" si="130"/>
        <v>18228.612017525345</v>
      </c>
      <c r="F222" s="336">
        <f t="shared" si="130"/>
        <v>19054.729690661952</v>
      </c>
      <c r="G222" s="336">
        <f t="shared" si="130"/>
        <v>18408.436824624096</v>
      </c>
      <c r="H222" s="408">
        <f t="shared" si="130"/>
        <v>18103.73053520668</v>
      </c>
      <c r="I222" s="14">
        <f t="shared" si="130"/>
        <v>19443.515729744944</v>
      </c>
      <c r="J222" s="14">
        <f t="shared" si="130"/>
        <v>20179.361733161182</v>
      </c>
      <c r="K222" s="14">
        <f t="shared" si="130"/>
        <v>20923.916467561303</v>
      </c>
      <c r="L222" s="14">
        <f t="shared" si="130"/>
        <v>20938.930741538283</v>
      </c>
      <c r="M222" s="14">
        <f t="shared" si="130"/>
        <v>21312.32838835007</v>
      </c>
      <c r="N222" s="188">
        <f t="shared" si="130"/>
        <v>22207.719816358065</v>
      </c>
      <c r="O222" s="14">
        <f t="shared" si="130"/>
        <v>22640.158532922138</v>
      </c>
      <c r="P222" s="14">
        <f t="shared" si="130"/>
        <v>23321.660250114466</v>
      </c>
      <c r="Q222" s="14">
        <f t="shared" si="130"/>
        <v>23595.495547716811</v>
      </c>
      <c r="R222" s="14">
        <f t="shared" si="130"/>
        <v>24214.850183726441</v>
      </c>
      <c r="S222" s="14">
        <f t="shared" si="130"/>
        <v>24618.873012590957</v>
      </c>
      <c r="T222" s="14">
        <f t="shared" si="130"/>
        <v>24909.831789178257</v>
      </c>
      <c r="U222" s="14">
        <f t="shared" si="130"/>
        <v>25891.043633607667</v>
      </c>
      <c r="V222" s="14">
        <f t="shared" si="130"/>
        <v>26280.833333378625</v>
      </c>
      <c r="W222" s="14">
        <f t="shared" si="130"/>
        <v>26962.928181231313</v>
      </c>
      <c r="X222" s="188">
        <f t="shared" si="130"/>
        <v>27534.021210697647</v>
      </c>
      <c r="Y222" s="159">
        <f t="shared" si="130"/>
        <v>27494.647170156568</v>
      </c>
      <c r="Z222" s="159">
        <f t="shared" si="130"/>
        <v>27622.329968324735</v>
      </c>
      <c r="AA222" s="159">
        <f t="shared" si="130"/>
        <v>27889.690296854988</v>
      </c>
      <c r="AB222" s="159">
        <f t="shared" si="130"/>
        <v>28355.280540564767</v>
      </c>
      <c r="AC222" s="159">
        <f t="shared" si="130"/>
        <v>28473.46848814933</v>
      </c>
      <c r="AD222" s="159">
        <f t="shared" si="130"/>
        <v>28727.785502967701</v>
      </c>
      <c r="AE222" s="159">
        <f t="shared" si="130"/>
        <v>29046.411295487971</v>
      </c>
      <c r="AF222" s="159">
        <f t="shared" si="130"/>
        <v>29360.480067082848</v>
      </c>
      <c r="AG222" s="159">
        <f t="shared" si="130"/>
        <v>30159.744382528792</v>
      </c>
      <c r="AH222" s="188">
        <f t="shared" si="130"/>
        <v>30803.305857530235</v>
      </c>
    </row>
    <row r="223" spans="1:34" s="1" customFormat="1">
      <c r="A223" s="1" t="s">
        <v>444</v>
      </c>
      <c r="B223" s="13"/>
      <c r="C223" s="333" t="s">
        <v>0</v>
      </c>
      <c r="D223" s="346">
        <f>D210+D213</f>
        <v>1086.3144912396983</v>
      </c>
      <c r="E223" s="346">
        <f t="shared" ref="E223:AH223" si="131">E210+E213</f>
        <v>1342.1912023776372</v>
      </c>
      <c r="F223" s="346">
        <f t="shared" si="131"/>
        <v>1661.7292705263624</v>
      </c>
      <c r="G223" s="346">
        <f t="shared" si="131"/>
        <v>1820.0079977151131</v>
      </c>
      <c r="H223" s="411">
        <f>H210+H213</f>
        <v>1081.3403604686332</v>
      </c>
      <c r="I223" s="15">
        <f t="shared" si="131"/>
        <v>1355.3379480989586</v>
      </c>
      <c r="J223" s="15">
        <f t="shared" si="131"/>
        <v>1656.2443215270764</v>
      </c>
      <c r="K223" s="15">
        <f t="shared" si="131"/>
        <v>1997.9396843917521</v>
      </c>
      <c r="L223" s="15">
        <f t="shared" si="131"/>
        <v>2345.0278218720377</v>
      </c>
      <c r="M223" s="15">
        <f t="shared" si="131"/>
        <v>2800.3492991333846</v>
      </c>
      <c r="N223" s="191">
        <f t="shared" si="131"/>
        <v>3423.4543308890411</v>
      </c>
      <c r="O223" s="15">
        <f t="shared" si="131"/>
        <v>3671.9889585567635</v>
      </c>
      <c r="P223" s="15">
        <f t="shared" si="131"/>
        <v>3978.1850737983009</v>
      </c>
      <c r="Q223" s="15">
        <f t="shared" si="131"/>
        <v>4232.6949333168259</v>
      </c>
      <c r="R223" s="15">
        <f t="shared" si="131"/>
        <v>4566.5424047478473</v>
      </c>
      <c r="S223" s="15">
        <f t="shared" si="131"/>
        <v>4877.4714716717299</v>
      </c>
      <c r="T223" s="15">
        <f t="shared" si="131"/>
        <v>5181.1573459159081</v>
      </c>
      <c r="U223" s="15">
        <f t="shared" si="131"/>
        <v>5654.6433422127157</v>
      </c>
      <c r="V223" s="15">
        <f t="shared" si="131"/>
        <v>6027.3258657698188</v>
      </c>
      <c r="W223" s="15">
        <f t="shared" si="131"/>
        <v>6492.8894759412124</v>
      </c>
      <c r="X223" s="191">
        <f t="shared" si="131"/>
        <v>6959.9683112333678</v>
      </c>
      <c r="Y223" s="131">
        <f t="shared" si="131"/>
        <v>6954.816404804782</v>
      </c>
      <c r="Z223" s="131">
        <f t="shared" si="131"/>
        <v>6991.8717003145202</v>
      </c>
      <c r="AA223" s="131">
        <f t="shared" si="131"/>
        <v>7063.7118659782036</v>
      </c>
      <c r="AB223" s="131">
        <f t="shared" si="131"/>
        <v>7186.4813827258076</v>
      </c>
      <c r="AC223" s="131">
        <f t="shared" si="131"/>
        <v>7221.4930550148511</v>
      </c>
      <c r="AD223" s="131">
        <f t="shared" si="131"/>
        <v>7291.061921621038</v>
      </c>
      <c r="AE223" s="131">
        <f t="shared" si="131"/>
        <v>7377.2808236673627</v>
      </c>
      <c r="AF223" s="131">
        <f t="shared" si="131"/>
        <v>7462.396351396088</v>
      </c>
      <c r="AG223" s="131">
        <f t="shared" si="131"/>
        <v>7670.7553766320707</v>
      </c>
      <c r="AH223" s="191">
        <f t="shared" si="131"/>
        <v>7839.7765099591434</v>
      </c>
    </row>
    <row r="224" spans="1:34">
      <c r="A224" t="s">
        <v>447</v>
      </c>
      <c r="D224" s="336">
        <f>D210+D213+D216</f>
        <v>9271.8930489456779</v>
      </c>
      <c r="E224" s="336">
        <f t="shared" ref="E224:AH224" si="132">E210+E213+E216</f>
        <v>9649.9122980632474</v>
      </c>
      <c r="F224" s="336">
        <f t="shared" si="132"/>
        <v>10202.187016514385</v>
      </c>
      <c r="G224" s="336">
        <f t="shared" si="132"/>
        <v>9971.3805549559293</v>
      </c>
      <c r="H224" s="408">
        <f t="shared" si="132"/>
        <v>8718.0409839466338</v>
      </c>
      <c r="I224" s="14">
        <f t="shared" si="132"/>
        <v>9518.8491923932706</v>
      </c>
      <c r="J224" s="14">
        <f t="shared" si="132"/>
        <v>10081.894158913372</v>
      </c>
      <c r="K224" s="14">
        <f t="shared" si="132"/>
        <v>10683.745945754985</v>
      </c>
      <c r="L224" s="14">
        <f t="shared" si="132"/>
        <v>10975.803452365984</v>
      </c>
      <c r="M224" s="14">
        <f t="shared" si="132"/>
        <v>11507.513296725741</v>
      </c>
      <c r="N224" s="188">
        <f t="shared" si="132"/>
        <v>12398.904053797642</v>
      </c>
      <c r="O224" s="14">
        <f t="shared" si="132"/>
        <v>12651.964874445011</v>
      </c>
      <c r="P224" s="14">
        <f t="shared" si="132"/>
        <v>13050.548728035958</v>
      </c>
      <c r="Q224" s="14">
        <f t="shared" si="132"/>
        <v>13231.596809197177</v>
      </c>
      <c r="R224" s="14">
        <f t="shared" si="132"/>
        <v>13614.867891526919</v>
      </c>
      <c r="S224" s="14">
        <f t="shared" si="132"/>
        <v>13881.77570187492</v>
      </c>
      <c r="T224" s="14">
        <f t="shared" si="132"/>
        <v>14089.945481974919</v>
      </c>
      <c r="U224" s="14">
        <f t="shared" si="132"/>
        <v>14707.593898706766</v>
      </c>
      <c r="V224" s="14">
        <f t="shared" si="132"/>
        <v>15008.931541575586</v>
      </c>
      <c r="W224" s="14">
        <f t="shared" si="132"/>
        <v>15495.269518266183</v>
      </c>
      <c r="X224" s="188">
        <f t="shared" si="132"/>
        <v>15935.419015150908</v>
      </c>
      <c r="Y224" s="159">
        <f t="shared" si="132"/>
        <v>15833.286560769202</v>
      </c>
      <c r="Z224" s="159">
        <f t="shared" si="132"/>
        <v>15826.828332172197</v>
      </c>
      <c r="AA224" s="159">
        <f t="shared" si="132"/>
        <v>15897.694819695833</v>
      </c>
      <c r="AB224" s="159">
        <f t="shared" si="132"/>
        <v>16080.65585822703</v>
      </c>
      <c r="AC224" s="159">
        <f t="shared" si="132"/>
        <v>16065.198249262283</v>
      </c>
      <c r="AD224" s="159">
        <f t="shared" si="132"/>
        <v>16125.259435813346</v>
      </c>
      <c r="AE224" s="159">
        <f t="shared" si="132"/>
        <v>16220.121091442707</v>
      </c>
      <c r="AF224" s="159">
        <f t="shared" si="132"/>
        <v>16310.331325305373</v>
      </c>
      <c r="AG224" s="159">
        <f t="shared" si="132"/>
        <v>16666.099132307689</v>
      </c>
      <c r="AH224" s="188">
        <f t="shared" si="132"/>
        <v>16931.496451181956</v>
      </c>
    </row>
    <row r="225" spans="1:34">
      <c r="D225" s="336"/>
      <c r="E225" s="336"/>
      <c r="F225" s="336"/>
      <c r="G225" s="336"/>
      <c r="H225" s="408"/>
      <c r="I225" s="14"/>
      <c r="J225" s="14"/>
      <c r="K225" s="14"/>
      <c r="L225" s="14"/>
      <c r="M225" s="14"/>
      <c r="N225" s="188"/>
      <c r="O225" s="14"/>
      <c r="P225" s="14"/>
      <c r="Q225" s="14"/>
      <c r="R225" s="14"/>
      <c r="S225" s="14"/>
      <c r="T225" s="14"/>
      <c r="U225" s="14"/>
      <c r="V225" s="14"/>
      <c r="W225" s="14"/>
      <c r="X225" s="188"/>
    </row>
    <row r="226" spans="1:34">
      <c r="A226" s="1" t="s">
        <v>454</v>
      </c>
      <c r="D226" s="336">
        <f>D210+D213</f>
        <v>1086.3144912396983</v>
      </c>
      <c r="E226" s="336">
        <f>D226+E210+E213</f>
        <v>2428.5056936173355</v>
      </c>
      <c r="F226" s="336">
        <f>E226+F210+F213</f>
        <v>4090.2349641436977</v>
      </c>
      <c r="G226" s="336">
        <f>F226+G210+G213</f>
        <v>5910.2429618588103</v>
      </c>
      <c r="H226" s="408">
        <f t="shared" ref="H226:X226" si="133">G226+H210+H213</f>
        <v>6991.583322327444</v>
      </c>
      <c r="I226" s="14">
        <f t="shared" si="133"/>
        <v>8346.9212704264028</v>
      </c>
      <c r="J226" s="14">
        <f t="shared" si="133"/>
        <v>10003.165591953479</v>
      </c>
      <c r="K226" s="14">
        <f t="shared" si="133"/>
        <v>12001.105276345232</v>
      </c>
      <c r="L226" s="14">
        <f t="shared" si="133"/>
        <v>14346.133098217269</v>
      </c>
      <c r="M226" s="14">
        <f t="shared" si="133"/>
        <v>17146.482397350654</v>
      </c>
      <c r="N226" s="188">
        <f t="shared" si="133"/>
        <v>20569.936728239696</v>
      </c>
      <c r="O226" s="14">
        <f t="shared" si="133"/>
        <v>24241.925686796458</v>
      </c>
      <c r="P226" s="14">
        <f t="shared" si="133"/>
        <v>28220.110760594758</v>
      </c>
      <c r="Q226" s="14">
        <f t="shared" si="133"/>
        <v>32452.805693911585</v>
      </c>
      <c r="R226" s="14">
        <f t="shared" si="133"/>
        <v>37019.34809865943</v>
      </c>
      <c r="S226" s="14">
        <f t="shared" si="133"/>
        <v>41896.819570331158</v>
      </c>
      <c r="T226" s="14">
        <f t="shared" si="133"/>
        <v>47077.976916247062</v>
      </c>
      <c r="U226" s="14">
        <f t="shared" si="133"/>
        <v>52732.620258459778</v>
      </c>
      <c r="V226" s="14">
        <f t="shared" si="133"/>
        <v>58759.946124229595</v>
      </c>
      <c r="W226" s="14">
        <f t="shared" si="133"/>
        <v>65252.835600170809</v>
      </c>
      <c r="X226" s="188">
        <f t="shared" si="133"/>
        <v>72212.803911404175</v>
      </c>
      <c r="Y226" s="159">
        <f t="shared" ref="Y226:AH226" si="134">X226+Y210+Y213</f>
        <v>79167.620316208951</v>
      </c>
      <c r="Z226" s="159">
        <f t="shared" si="134"/>
        <v>86159.492016523465</v>
      </c>
      <c r="AA226" s="159">
        <f t="shared" si="134"/>
        <v>93223.203882501664</v>
      </c>
      <c r="AB226" s="159">
        <f t="shared" si="134"/>
        <v>100409.68526522747</v>
      </c>
      <c r="AC226" s="159">
        <f t="shared" si="134"/>
        <v>107631.17832024232</v>
      </c>
      <c r="AD226" s="159">
        <f t="shared" si="134"/>
        <v>114922.24024186336</v>
      </c>
      <c r="AE226" s="159">
        <f t="shared" si="134"/>
        <v>122299.52106553072</v>
      </c>
      <c r="AF226" s="159">
        <f t="shared" si="134"/>
        <v>129761.91741692681</v>
      </c>
      <c r="AG226" s="159">
        <f t="shared" si="134"/>
        <v>137432.67279355889</v>
      </c>
      <c r="AH226" s="188">
        <f t="shared" si="134"/>
        <v>145272.44930351802</v>
      </c>
    </row>
    <row r="227" spans="1:34">
      <c r="A227" s="1" t="s">
        <v>455</v>
      </c>
      <c r="D227" s="336">
        <f>D219</f>
        <v>8179.0753145859317</v>
      </c>
      <c r="E227" s="336">
        <f>D227+E219</f>
        <v>16757.775034048031</v>
      </c>
      <c r="F227" s="336">
        <f>E227+F219</f>
        <v>25610.317708195598</v>
      </c>
      <c r="G227" s="336">
        <f t="shared" ref="G227:X227" si="135">F227+G219</f>
        <v>34047.373977863768</v>
      </c>
      <c r="H227" s="408">
        <f t="shared" si="135"/>
        <v>43433.063529123814</v>
      </c>
      <c r="I227" s="14">
        <f t="shared" si="135"/>
        <v>53357.730066475488</v>
      </c>
      <c r="J227" s="14">
        <f t="shared" si="135"/>
        <v>63455.197640723301</v>
      </c>
      <c r="K227" s="14">
        <f t="shared" si="135"/>
        <v>73695.368162529616</v>
      </c>
      <c r="L227" s="14">
        <f t="shared" si="135"/>
        <v>83658.495451701921</v>
      </c>
      <c r="M227" s="14">
        <f t="shared" si="135"/>
        <v>93463.310543326254</v>
      </c>
      <c r="N227" s="188">
        <f t="shared" si="135"/>
        <v>103272.12630588668</v>
      </c>
      <c r="O227" s="14">
        <f t="shared" si="135"/>
        <v>113260.31996436381</v>
      </c>
      <c r="P227" s="14">
        <f t="shared" si="135"/>
        <v>123531.43148644231</v>
      </c>
      <c r="Q227" s="14">
        <f t="shared" si="135"/>
        <v>133895.33022496194</v>
      </c>
      <c r="R227" s="14">
        <f t="shared" si="135"/>
        <v>144495.31251716148</v>
      </c>
      <c r="S227" s="14">
        <f t="shared" si="135"/>
        <v>155232.40982787751</v>
      </c>
      <c r="T227" s="14">
        <f t="shared" si="135"/>
        <v>166052.29613508083</v>
      </c>
      <c r="U227" s="14">
        <f t="shared" si="135"/>
        <v>177235.74586998174</v>
      </c>
      <c r="V227" s="14">
        <f t="shared" si="135"/>
        <v>188507.64766178478</v>
      </c>
      <c r="W227" s="14">
        <f t="shared" si="135"/>
        <v>199975.30632474989</v>
      </c>
      <c r="X227" s="188">
        <f t="shared" si="135"/>
        <v>211573.90852029662</v>
      </c>
      <c r="Y227" s="159">
        <f t="shared" ref="Y227:AH227" si="136">X227+Y219</f>
        <v>223235.26912968399</v>
      </c>
      <c r="Z227" s="159">
        <f t="shared" si="136"/>
        <v>235030.77076583653</v>
      </c>
      <c r="AA227" s="159">
        <f t="shared" si="136"/>
        <v>247022.76624299568</v>
      </c>
      <c r="AB227" s="159">
        <f t="shared" si="136"/>
        <v>259297.39092533343</v>
      </c>
      <c r="AC227" s="159">
        <f t="shared" si="136"/>
        <v>271705.66116422048</v>
      </c>
      <c r="AD227" s="159">
        <f t="shared" si="136"/>
        <v>284308.18723137485</v>
      </c>
      <c r="AE227" s="159">
        <f t="shared" si="136"/>
        <v>297134.47743542009</v>
      </c>
      <c r="AF227" s="159">
        <f t="shared" si="136"/>
        <v>310184.62617719756</v>
      </c>
      <c r="AG227" s="159">
        <f t="shared" si="136"/>
        <v>323678.27142741869</v>
      </c>
      <c r="AH227" s="188">
        <f t="shared" si="136"/>
        <v>337550.08083376696</v>
      </c>
    </row>
    <row r="228" spans="1:34">
      <c r="A228" s="1" t="s">
        <v>457</v>
      </c>
      <c r="D228" s="336">
        <f t="shared" ref="D228:AH228" si="137">D227-D207</f>
        <v>-694.64668541406991</v>
      </c>
      <c r="E228" s="336">
        <f t="shared" si="137"/>
        <v>-1566.8098701088238</v>
      </c>
      <c r="F228" s="336">
        <f t="shared" si="137"/>
        <v>-2756.3151094903842</v>
      </c>
      <c r="G228" s="336">
        <f t="shared" si="137"/>
        <v>-3623.7833382078534</v>
      </c>
      <c r="H228" s="408">
        <f>H227-H207</f>
        <v>-3653.5850865555549</v>
      </c>
      <c r="I228" s="14">
        <f t="shared" si="137"/>
        <v>-3882.8761279998944</v>
      </c>
      <c r="J228" s="14">
        <f t="shared" si="137"/>
        <v>-4096.2782816206163</v>
      </c>
      <c r="K228" s="14">
        <f t="shared" si="137"/>
        <v>-4470.6436099811544</v>
      </c>
      <c r="L228" s="14">
        <f t="shared" si="137"/>
        <v>-4700.1277250701096</v>
      </c>
      <c r="M228" s="14">
        <f t="shared" si="137"/>
        <v>-4931.5428055433731</v>
      </c>
      <c r="N228" s="188">
        <f t="shared" si="137"/>
        <v>-5477.4461205172556</v>
      </c>
      <c r="O228" s="14">
        <f t="shared" si="137"/>
        <v>-5892.0124380611378</v>
      </c>
      <c r="P228" s="14">
        <f t="shared" si="137"/>
        <v>-6525.1270507285371</v>
      </c>
      <c r="Q228" s="14">
        <f t="shared" si="137"/>
        <v>-7197.3576149779547</v>
      </c>
      <c r="R228" s="14">
        <f t="shared" si="137"/>
        <v>-8083.3145505780703</v>
      </c>
      <c r="S228" s="14">
        <f t="shared" si="137"/>
        <v>-9090.6568111301167</v>
      </c>
      <c r="T228" s="14">
        <f t="shared" si="137"/>
        <v>-10181.294601936155</v>
      </c>
      <c r="U228" s="14">
        <f t="shared" si="137"/>
        <v>-11650.68912265019</v>
      </c>
      <c r="V228" s="14">
        <f t="shared" si="137"/>
        <v>-13255.874394441518</v>
      </c>
      <c r="W228" s="14">
        <f t="shared" si="137"/>
        <v>-15114.154677794868</v>
      </c>
      <c r="X228" s="188">
        <f t="shared" si="137"/>
        <v>-17198.497002932214</v>
      </c>
      <c r="Y228" s="159">
        <f t="shared" si="137"/>
        <v>-19170.605279964482</v>
      </c>
      <c r="Z228" s="159">
        <f t="shared" si="137"/>
        <v>-21114.493849510793</v>
      </c>
      <c r="AA228" s="159">
        <f t="shared" si="137"/>
        <v>-23085.253459082393</v>
      </c>
      <c r="AB228" s="159">
        <f t="shared" si="137"/>
        <v>-25137.027925765724</v>
      </c>
      <c r="AC228" s="159">
        <f t="shared" si="137"/>
        <v>-27133.357072240498</v>
      </c>
      <c r="AD228" s="159">
        <f t="shared" si="137"/>
        <v>-29084.562335401133</v>
      </c>
      <c r="AE228" s="159">
        <f t="shared" si="137"/>
        <v>-31002.175208143017</v>
      </c>
      <c r="AF228" s="159">
        <f t="shared" si="137"/>
        <v>-32839.404128155322</v>
      </c>
      <c r="AG228" s="159">
        <f t="shared" si="137"/>
        <v>-34746.070600465871</v>
      </c>
      <c r="AH228" s="188">
        <f t="shared" si="137"/>
        <v>-36698.374276560615</v>
      </c>
    </row>
    <row r="229" spans="1:34">
      <c r="I229" s="130"/>
      <c r="J229" s="130"/>
      <c r="K229" s="130"/>
      <c r="L229" s="130"/>
      <c r="M229" s="130"/>
      <c r="O229" s="130"/>
      <c r="P229" s="130"/>
      <c r="Q229" s="130"/>
      <c r="R229" s="130"/>
      <c r="S229" s="130"/>
      <c r="T229" s="130"/>
      <c r="U229" s="130"/>
      <c r="V229" s="130"/>
      <c r="W229" s="130"/>
    </row>
    <row r="230" spans="1:34">
      <c r="A230" s="1" t="s">
        <v>413</v>
      </c>
    </row>
    <row r="231" spans="1:34">
      <c r="A231" t="s">
        <v>414</v>
      </c>
      <c r="C231" s="336">
        <f t="shared" ref="C231:AH231" si="138">C210-C191</f>
        <v>0</v>
      </c>
      <c r="D231" s="336">
        <f t="shared" si="138"/>
        <v>0</v>
      </c>
      <c r="E231" s="336">
        <f t="shared" si="138"/>
        <v>0</v>
      </c>
      <c r="F231" s="336">
        <f t="shared" si="138"/>
        <v>0</v>
      </c>
      <c r="G231" s="336">
        <f t="shared" si="138"/>
        <v>0</v>
      </c>
      <c r="H231" s="408">
        <f t="shared" si="138"/>
        <v>0</v>
      </c>
      <c r="I231" s="14">
        <f t="shared" si="138"/>
        <v>0</v>
      </c>
      <c r="J231" s="14">
        <f t="shared" si="138"/>
        <v>0</v>
      </c>
      <c r="K231" s="14">
        <f t="shared" si="138"/>
        <v>0</v>
      </c>
      <c r="L231" s="14">
        <f t="shared" si="138"/>
        <v>0</v>
      </c>
      <c r="M231" s="14">
        <f t="shared" si="138"/>
        <v>0</v>
      </c>
      <c r="N231" s="188">
        <f t="shared" ref="N231:O233" si="139">N210-N191</f>
        <v>0</v>
      </c>
      <c r="O231" s="14">
        <f t="shared" si="139"/>
        <v>0</v>
      </c>
      <c r="P231" s="14">
        <f t="shared" si="138"/>
        <v>0</v>
      </c>
      <c r="Q231" s="14">
        <f t="shared" si="138"/>
        <v>0</v>
      </c>
      <c r="R231" s="14">
        <f t="shared" si="138"/>
        <v>0</v>
      </c>
      <c r="S231" s="14">
        <f t="shared" si="138"/>
        <v>0</v>
      </c>
      <c r="T231" s="14">
        <f t="shared" si="138"/>
        <v>0</v>
      </c>
      <c r="U231" s="14">
        <f t="shared" si="138"/>
        <v>0</v>
      </c>
      <c r="V231" s="14">
        <f t="shared" si="138"/>
        <v>0</v>
      </c>
      <c r="W231" s="14">
        <f t="shared" si="138"/>
        <v>0</v>
      </c>
      <c r="X231" s="188">
        <f t="shared" si="138"/>
        <v>0</v>
      </c>
      <c r="Y231" s="159">
        <f t="shared" si="138"/>
        <v>0</v>
      </c>
      <c r="Z231" s="159">
        <f t="shared" si="138"/>
        <v>0</v>
      </c>
      <c r="AA231" s="159">
        <f t="shared" si="138"/>
        <v>0</v>
      </c>
      <c r="AB231" s="159">
        <f t="shared" si="138"/>
        <v>0</v>
      </c>
      <c r="AC231" s="159">
        <f t="shared" si="138"/>
        <v>0</v>
      </c>
      <c r="AD231" s="159">
        <f t="shared" si="138"/>
        <v>0</v>
      </c>
      <c r="AE231" s="159">
        <f t="shared" si="138"/>
        <v>0</v>
      </c>
      <c r="AF231" s="159">
        <f t="shared" si="138"/>
        <v>0</v>
      </c>
      <c r="AG231" s="159">
        <f t="shared" si="138"/>
        <v>0</v>
      </c>
      <c r="AH231" s="188">
        <f t="shared" si="138"/>
        <v>0</v>
      </c>
    </row>
    <row r="232" spans="1:34">
      <c r="A232" t="s">
        <v>415</v>
      </c>
      <c r="C232" s="336">
        <f t="shared" ref="C232:AH232" si="140">C211-C192</f>
        <v>0</v>
      </c>
      <c r="D232" s="336">
        <f t="shared" si="140"/>
        <v>0</v>
      </c>
      <c r="E232" s="336">
        <f t="shared" si="140"/>
        <v>0</v>
      </c>
      <c r="F232" s="336">
        <f t="shared" si="140"/>
        <v>0</v>
      </c>
      <c r="G232" s="336">
        <f t="shared" si="140"/>
        <v>0</v>
      </c>
      <c r="H232" s="408">
        <f t="shared" si="140"/>
        <v>0</v>
      </c>
      <c r="I232" s="14">
        <f t="shared" si="140"/>
        <v>0</v>
      </c>
      <c r="J232" s="14">
        <f t="shared" si="140"/>
        <v>0</v>
      </c>
      <c r="K232" s="14">
        <f t="shared" si="140"/>
        <v>0</v>
      </c>
      <c r="L232" s="14">
        <f t="shared" si="140"/>
        <v>0</v>
      </c>
      <c r="M232" s="14">
        <f t="shared" si="140"/>
        <v>0</v>
      </c>
      <c r="N232" s="188">
        <f t="shared" si="139"/>
        <v>0</v>
      </c>
      <c r="O232" s="14">
        <f t="shared" si="139"/>
        <v>0</v>
      </c>
      <c r="P232" s="14">
        <f t="shared" si="140"/>
        <v>0</v>
      </c>
      <c r="Q232" s="14">
        <f t="shared" si="140"/>
        <v>0</v>
      </c>
      <c r="R232" s="14">
        <f t="shared" si="140"/>
        <v>0</v>
      </c>
      <c r="S232" s="14">
        <f t="shared" si="140"/>
        <v>0</v>
      </c>
      <c r="T232" s="14">
        <f t="shared" si="140"/>
        <v>0</v>
      </c>
      <c r="U232" s="14">
        <f t="shared" si="140"/>
        <v>0</v>
      </c>
      <c r="V232" s="14">
        <f t="shared" si="140"/>
        <v>0</v>
      </c>
      <c r="W232" s="14">
        <f t="shared" si="140"/>
        <v>0</v>
      </c>
      <c r="X232" s="188">
        <f t="shared" si="140"/>
        <v>0</v>
      </c>
      <c r="Y232" s="159">
        <f t="shared" si="140"/>
        <v>0</v>
      </c>
      <c r="Z232" s="159">
        <f t="shared" si="140"/>
        <v>0</v>
      </c>
      <c r="AA232" s="159">
        <f t="shared" si="140"/>
        <v>0</v>
      </c>
      <c r="AB232" s="159">
        <f t="shared" si="140"/>
        <v>0</v>
      </c>
      <c r="AC232" s="159">
        <f t="shared" si="140"/>
        <v>0</v>
      </c>
      <c r="AD232" s="159">
        <f t="shared" si="140"/>
        <v>0</v>
      </c>
      <c r="AE232" s="159">
        <f t="shared" si="140"/>
        <v>0</v>
      </c>
      <c r="AF232" s="159">
        <f t="shared" si="140"/>
        <v>0</v>
      </c>
      <c r="AG232" s="159">
        <f t="shared" si="140"/>
        <v>0</v>
      </c>
      <c r="AH232" s="188">
        <f t="shared" si="140"/>
        <v>0</v>
      </c>
    </row>
    <row r="233" spans="1:34">
      <c r="A233" t="s">
        <v>416</v>
      </c>
      <c r="C233" s="336">
        <f t="shared" ref="C233:AH233" si="141">C212-C193</f>
        <v>0</v>
      </c>
      <c r="D233" s="336">
        <f t="shared" si="141"/>
        <v>0</v>
      </c>
      <c r="E233" s="336">
        <f t="shared" si="141"/>
        <v>0</v>
      </c>
      <c r="F233" s="336">
        <f t="shared" si="141"/>
        <v>0</v>
      </c>
      <c r="G233" s="336">
        <f t="shared" si="141"/>
        <v>0</v>
      </c>
      <c r="H233" s="408">
        <f t="shared" si="141"/>
        <v>0</v>
      </c>
      <c r="I233" s="14">
        <f t="shared" si="141"/>
        <v>0</v>
      </c>
      <c r="J233" s="14">
        <f t="shared" si="141"/>
        <v>0</v>
      </c>
      <c r="K233" s="14">
        <f t="shared" si="141"/>
        <v>0</v>
      </c>
      <c r="L233" s="14">
        <f t="shared" si="141"/>
        <v>0</v>
      </c>
      <c r="M233" s="14">
        <f t="shared" si="141"/>
        <v>0</v>
      </c>
      <c r="N233" s="188">
        <f t="shared" si="139"/>
        <v>0</v>
      </c>
      <c r="O233" s="14">
        <f t="shared" si="139"/>
        <v>0</v>
      </c>
      <c r="P233" s="14">
        <f t="shared" si="141"/>
        <v>0</v>
      </c>
      <c r="Q233" s="14">
        <f t="shared" si="141"/>
        <v>0</v>
      </c>
      <c r="R233" s="14">
        <f t="shared" si="141"/>
        <v>0</v>
      </c>
      <c r="S233" s="14">
        <f t="shared" si="141"/>
        <v>0</v>
      </c>
      <c r="T233" s="14">
        <f t="shared" si="141"/>
        <v>0</v>
      </c>
      <c r="U233" s="14">
        <f t="shared" si="141"/>
        <v>0</v>
      </c>
      <c r="V233" s="14">
        <f t="shared" si="141"/>
        <v>0</v>
      </c>
      <c r="W233" s="14">
        <f t="shared" si="141"/>
        <v>0</v>
      </c>
      <c r="X233" s="188">
        <f t="shared" si="141"/>
        <v>0</v>
      </c>
      <c r="Y233" s="159">
        <f t="shared" si="141"/>
        <v>0</v>
      </c>
      <c r="Z233" s="159">
        <f t="shared" si="141"/>
        <v>0</v>
      </c>
      <c r="AA233" s="159">
        <f t="shared" si="141"/>
        <v>0</v>
      </c>
      <c r="AB233" s="159">
        <f t="shared" si="141"/>
        <v>0</v>
      </c>
      <c r="AC233" s="159">
        <f t="shared" si="141"/>
        <v>0</v>
      </c>
      <c r="AD233" s="159">
        <f t="shared" si="141"/>
        <v>0</v>
      </c>
      <c r="AE233" s="159">
        <f t="shared" si="141"/>
        <v>0</v>
      </c>
      <c r="AF233" s="159">
        <f t="shared" si="141"/>
        <v>0</v>
      </c>
      <c r="AG233" s="159">
        <f t="shared" si="141"/>
        <v>0</v>
      </c>
      <c r="AH233" s="188">
        <f t="shared" si="141"/>
        <v>0</v>
      </c>
    </row>
    <row r="234" spans="1:34">
      <c r="A234" t="s">
        <v>417</v>
      </c>
      <c r="C234" s="336">
        <f t="shared" ref="C234:AH234" si="142">C213-C194</f>
        <v>-2.7000000000043656E-4</v>
      </c>
      <c r="D234" s="336">
        <f t="shared" si="142"/>
        <v>297.54336123969836</v>
      </c>
      <c r="E234" s="336">
        <f t="shared" si="142"/>
        <v>378.86185893168874</v>
      </c>
      <c r="F234" s="336">
        <f t="shared" si="142"/>
        <v>610.53823316899729</v>
      </c>
      <c r="G234" s="336">
        <f t="shared" si="142"/>
        <v>765.10490565837608</v>
      </c>
      <c r="H234" s="408">
        <f>H213-H194</f>
        <v>-2.7000000000043656E-4</v>
      </c>
      <c r="I234" s="14">
        <f t="shared" si="142"/>
        <v>256.28794115214464</v>
      </c>
      <c r="J234" s="14">
        <f t="shared" si="142"/>
        <v>62.161324008744032</v>
      </c>
      <c r="K234" s="14">
        <f t="shared" si="142"/>
        <v>543.62300935453186</v>
      </c>
      <c r="L234" s="14">
        <f t="shared" si="142"/>
        <v>852.3363648563718</v>
      </c>
      <c r="M234" s="14">
        <f t="shared" si="142"/>
        <v>1161.2923822811736</v>
      </c>
      <c r="N234" s="188">
        <f t="shared" si="142"/>
        <v>1400.9927024788567</v>
      </c>
      <c r="O234" s="14">
        <f t="shared" si="142"/>
        <v>1058.4954237999332</v>
      </c>
      <c r="P234" s="14">
        <f t="shared" si="142"/>
        <v>1319.1179085889294</v>
      </c>
      <c r="Q234" s="14">
        <f t="shared" si="142"/>
        <v>1481.9810708109098</v>
      </c>
      <c r="R234" s="14">
        <f t="shared" si="142"/>
        <v>1800.6247486464017</v>
      </c>
      <c r="S234" s="14">
        <f t="shared" si="142"/>
        <v>2088.5420325205496</v>
      </c>
      <c r="T234" s="14">
        <f t="shared" si="142"/>
        <v>2389.9619162245745</v>
      </c>
      <c r="U234" s="14">
        <f t="shared" si="142"/>
        <v>2885.2068405679097</v>
      </c>
      <c r="V234" s="14">
        <f t="shared" si="142"/>
        <v>3246.7428605742539</v>
      </c>
      <c r="W234" s="14">
        <f t="shared" si="142"/>
        <v>3703.5923933570266</v>
      </c>
      <c r="X234" s="188">
        <f t="shared" si="142"/>
        <v>4192.6783543632555</v>
      </c>
      <c r="Y234" s="159">
        <f t="shared" si="142"/>
        <v>4173.7036156622889</v>
      </c>
      <c r="Z234" s="159">
        <f t="shared" si="142"/>
        <v>4218.7820151833585</v>
      </c>
      <c r="AA234" s="159">
        <f t="shared" si="142"/>
        <v>4286.4230919713009</v>
      </c>
      <c r="AB234" s="159">
        <f t="shared" si="142"/>
        <v>4392.1073923972253</v>
      </c>
      <c r="AC234" s="159">
        <f t="shared" si="142"/>
        <v>4416.1011246257403</v>
      </c>
      <c r="AD234" s="159">
        <f t="shared" si="142"/>
        <v>4471.5874186358087</v>
      </c>
      <c r="AE234" s="159">
        <f t="shared" si="142"/>
        <v>4545.9182271869495</v>
      </c>
      <c r="AF234" s="159">
        <f t="shared" si="142"/>
        <v>4635.3234632688245</v>
      </c>
      <c r="AG234" s="159">
        <f t="shared" si="142"/>
        <v>4830.5158450668096</v>
      </c>
      <c r="AH234" s="188">
        <f t="shared" si="142"/>
        <v>4988.4530300256065</v>
      </c>
    </row>
    <row r="235" spans="1:34">
      <c r="A235" t="s">
        <v>418</v>
      </c>
      <c r="C235" s="336">
        <f t="shared" ref="C235:AH235" si="143">C214-C195</f>
        <v>0</v>
      </c>
      <c r="D235" s="336">
        <f t="shared" si="143"/>
        <v>156.60192662978341</v>
      </c>
      <c r="E235" s="336">
        <f t="shared" si="143"/>
        <v>199.4011500701065</v>
      </c>
      <c r="F235" s="336">
        <f t="shared" si="143"/>
        <v>321.33610170581483</v>
      </c>
      <c r="G235" s="336">
        <f t="shared" si="143"/>
        <v>402.68698668807826</v>
      </c>
      <c r="H235" s="408">
        <f t="shared" si="143"/>
        <v>0</v>
      </c>
      <c r="I235" s="14">
        <f t="shared" si="143"/>
        <v>134.88855151090684</v>
      </c>
      <c r="J235" s="14">
        <f t="shared" si="143"/>
        <v>32.716663379471697</v>
      </c>
      <c r="K235" s="14">
        <f t="shared" si="143"/>
        <v>286.11756731266019</v>
      </c>
      <c r="L235" s="14">
        <f t="shared" si="143"/>
        <v>448.59829158818434</v>
      </c>
      <c r="M235" s="14">
        <f t="shared" si="143"/>
        <v>611.20673657818145</v>
      </c>
      <c r="N235" s="188">
        <f t="shared" si="143"/>
        <v>737.36482079599705</v>
      </c>
      <c r="O235" s="14">
        <f t="shared" si="143"/>
        <v>557.10311263842982</v>
      </c>
      <c r="P235" s="14">
        <f t="shared" si="143"/>
        <v>694.27286298916215</v>
      </c>
      <c r="Q235" s="14">
        <f t="shared" si="143"/>
        <v>779.99033467296454</v>
      </c>
      <c r="R235" s="14">
        <f t="shared" si="143"/>
        <v>947.6975569910494</v>
      </c>
      <c r="S235" s="14">
        <f t="shared" si="143"/>
        <v>1099.2329914033619</v>
      </c>
      <c r="T235" s="14">
        <f t="shared" si="143"/>
        <v>1257.875056796152</v>
      </c>
      <c r="U235" s="14">
        <f t="shared" si="143"/>
        <v>1518.5303134035451</v>
      </c>
      <c r="V235" s="14">
        <f t="shared" si="143"/>
        <v>1708.8124553823448</v>
      </c>
      <c r="W235" s="14">
        <f t="shared" si="143"/>
        <v>1949.2596106117337</v>
      </c>
      <c r="X235" s="188">
        <f t="shared" si="143"/>
        <v>2206.6733071178278</v>
      </c>
      <c r="Y235" s="159">
        <f t="shared" si="143"/>
        <v>2196.6866021763799</v>
      </c>
      <c r="Z235" s="159">
        <f t="shared" si="143"/>
        <v>2220.4120782121581</v>
      </c>
      <c r="AA235" s="159">
        <f t="shared" si="143"/>
        <v>2256.0126499903981</v>
      </c>
      <c r="AB235" s="159">
        <f t="shared" si="143"/>
        <v>2311.6359746302605</v>
      </c>
      <c r="AC235" s="159">
        <f t="shared" si="143"/>
        <v>2324.2642572105756</v>
      </c>
      <c r="AD235" s="159">
        <f t="shared" si="143"/>
        <v>2353.4675747356068</v>
      </c>
      <c r="AE235" s="159">
        <f t="shared" si="143"/>
        <v>2392.5890589784622</v>
      </c>
      <c r="AF235" s="159">
        <f t="shared" si="143"/>
        <v>2439.6444523704922</v>
      </c>
      <c r="AG235" s="159">
        <f t="shared" si="143"/>
        <v>2542.3772995357867</v>
      </c>
      <c r="AH235" s="188">
        <f t="shared" si="143"/>
        <v>2625.5021456006489</v>
      </c>
    </row>
    <row r="236" spans="1:34">
      <c r="A236" t="s">
        <v>419</v>
      </c>
      <c r="C236" s="336">
        <f t="shared" ref="C236:AH236" si="144">C215-C196</f>
        <v>-2.7000000000043656E-4</v>
      </c>
      <c r="D236" s="336">
        <f t="shared" si="144"/>
        <v>140.94143460991506</v>
      </c>
      <c r="E236" s="336">
        <f t="shared" si="144"/>
        <v>179.46070886158225</v>
      </c>
      <c r="F236" s="336">
        <f t="shared" si="144"/>
        <v>289.20213146318252</v>
      </c>
      <c r="G236" s="336">
        <f t="shared" si="144"/>
        <v>362.41791897029788</v>
      </c>
      <c r="H236" s="408">
        <f>H215-H196</f>
        <v>-2.7000000000043656E-4</v>
      </c>
      <c r="I236" s="14">
        <f t="shared" si="144"/>
        <v>121.39938964123769</v>
      </c>
      <c r="J236" s="14">
        <f t="shared" si="144"/>
        <v>29.444660629272335</v>
      </c>
      <c r="K236" s="14">
        <f t="shared" si="144"/>
        <v>257.50544204187179</v>
      </c>
      <c r="L236" s="14">
        <f t="shared" si="144"/>
        <v>403.73807326818712</v>
      </c>
      <c r="M236" s="14">
        <f t="shared" si="144"/>
        <v>550.08564570299222</v>
      </c>
      <c r="N236" s="188">
        <f t="shared" si="144"/>
        <v>663.62788168285965</v>
      </c>
      <c r="O236" s="14">
        <f t="shared" si="144"/>
        <v>501.39231116150313</v>
      </c>
      <c r="P236" s="14">
        <f t="shared" si="144"/>
        <v>624.84504559976745</v>
      </c>
      <c r="Q236" s="14">
        <f t="shared" si="144"/>
        <v>701.99073613794553</v>
      </c>
      <c r="R236" s="14">
        <f t="shared" si="144"/>
        <v>852.92719165535254</v>
      </c>
      <c r="S236" s="14">
        <f t="shared" si="144"/>
        <v>989.30904111718746</v>
      </c>
      <c r="T236" s="14">
        <f t="shared" si="144"/>
        <v>1132.0868594284227</v>
      </c>
      <c r="U236" s="14">
        <f t="shared" si="144"/>
        <v>1366.6765271643651</v>
      </c>
      <c r="V236" s="14">
        <f t="shared" si="144"/>
        <v>1537.9304051919087</v>
      </c>
      <c r="W236" s="14">
        <f t="shared" si="144"/>
        <v>1754.3327827452929</v>
      </c>
      <c r="X236" s="188">
        <f t="shared" si="144"/>
        <v>1986.0050472454275</v>
      </c>
      <c r="Y236" s="159">
        <f t="shared" si="144"/>
        <v>1977.0170134859086</v>
      </c>
      <c r="Z236" s="159">
        <f t="shared" si="144"/>
        <v>1998.3699369711999</v>
      </c>
      <c r="AA236" s="159">
        <f t="shared" si="144"/>
        <v>2030.4104419809034</v>
      </c>
      <c r="AB236" s="159">
        <f t="shared" si="144"/>
        <v>2080.4714177669648</v>
      </c>
      <c r="AC236" s="159">
        <f t="shared" si="144"/>
        <v>2091.8368674151652</v>
      </c>
      <c r="AD236" s="159">
        <f t="shared" si="144"/>
        <v>2118.119843900201</v>
      </c>
      <c r="AE236" s="159">
        <f t="shared" si="144"/>
        <v>2153.3291682084873</v>
      </c>
      <c r="AF236" s="159">
        <f t="shared" si="144"/>
        <v>2195.6790108983323</v>
      </c>
      <c r="AG236" s="159">
        <f t="shared" si="144"/>
        <v>2288.1385455310219</v>
      </c>
      <c r="AH236" s="188">
        <f t="shared" si="144"/>
        <v>2362.9508844249585</v>
      </c>
    </row>
    <row r="237" spans="1:34">
      <c r="A237" t="s">
        <v>420</v>
      </c>
      <c r="C237" s="336">
        <f t="shared" ref="C237:AH237" si="145">C216-C197</f>
        <v>0</v>
      </c>
      <c r="D237" s="336">
        <f t="shared" si="145"/>
        <v>689.92940770597852</v>
      </c>
      <c r="E237" s="336">
        <f t="shared" si="145"/>
        <v>737.35278788621144</v>
      </c>
      <c r="F237" s="336">
        <f t="shared" si="145"/>
        <v>966.72349668842253</v>
      </c>
      <c r="G237" s="336">
        <f t="shared" si="145"/>
        <v>536.47142990841621</v>
      </c>
      <c r="H237" s="408">
        <f t="shared" si="145"/>
        <v>0</v>
      </c>
      <c r="I237" s="14">
        <f t="shared" si="145"/>
        <v>324.25694004491288</v>
      </c>
      <c r="J237" s="14">
        <f t="shared" si="145"/>
        <v>517.04435057689534</v>
      </c>
      <c r="K237" s="14">
        <f t="shared" si="145"/>
        <v>422.76279248503124</v>
      </c>
      <c r="L237" s="14">
        <f t="shared" si="145"/>
        <v>23.423451483346071</v>
      </c>
      <c r="M237" s="14">
        <f t="shared" si="145"/>
        <v>-199.42775512264234</v>
      </c>
      <c r="N237" s="188">
        <f t="shared" si="145"/>
        <v>0</v>
      </c>
      <c r="O237" s="14">
        <f t="shared" si="145"/>
        <v>4.5252153764486138</v>
      </c>
      <c r="P237" s="14">
        <f t="shared" si="145"/>
        <v>96.91393132905614</v>
      </c>
      <c r="Q237" s="14">
        <f t="shared" si="145"/>
        <v>23.451175368551048</v>
      </c>
      <c r="R237" s="14">
        <f t="shared" si="145"/>
        <v>72.874786267271702</v>
      </c>
      <c r="S237" s="14">
        <f t="shared" si="145"/>
        <v>28.854507294588984</v>
      </c>
      <c r="T237" s="14">
        <f t="shared" si="145"/>
        <v>-66.691464847388488</v>
      </c>
      <c r="U237" s="14">
        <f t="shared" si="145"/>
        <v>77.500833585449072</v>
      </c>
      <c r="V237" s="14">
        <f t="shared" si="145"/>
        <v>6.1559528971665713</v>
      </c>
      <c r="W237" s="14">
        <f t="shared" si="145"/>
        <v>26.930319416369457</v>
      </c>
      <c r="X237" s="188">
        <f t="shared" si="145"/>
        <v>3.4057411539833993E-6</v>
      </c>
      <c r="Y237" s="159">
        <f t="shared" si="145"/>
        <v>-96.979566944180988</v>
      </c>
      <c r="Z237" s="159">
        <f t="shared" si="145"/>
        <v>-144.56091605412439</v>
      </c>
      <c r="AA237" s="159">
        <f t="shared" si="145"/>
        <v>-145.53459419417231</v>
      </c>
      <c r="AB237" s="159">
        <f t="shared" si="145"/>
        <v>-85.343072410578316</v>
      </c>
      <c r="AC237" s="159">
        <f t="shared" si="145"/>
        <v>-135.81235366436886</v>
      </c>
      <c r="AD237" s="159">
        <f t="shared" si="145"/>
        <v>-188.94771502649201</v>
      </c>
      <c r="AE237" s="159">
        <f t="shared" si="145"/>
        <v>-191.05266992405814</v>
      </c>
      <c r="AF237" s="159">
        <f t="shared" si="145"/>
        <v>-185.95704728711462</v>
      </c>
      <c r="AG237" s="159">
        <f t="shared" si="145"/>
        <v>-86.184914250381553</v>
      </c>
      <c r="AH237" s="188">
        <f t="shared" si="145"/>
        <v>0.13252867141272873</v>
      </c>
    </row>
    <row r="238" spans="1:34">
      <c r="A238" t="s">
        <v>421</v>
      </c>
      <c r="C238" s="336">
        <f t="shared" ref="C238:AH238" si="146">C217-C198</f>
        <v>0</v>
      </c>
      <c r="D238" s="336">
        <f t="shared" si="146"/>
        <v>363.12074089788348</v>
      </c>
      <c r="E238" s="336">
        <f t="shared" si="146"/>
        <v>388.08041467695239</v>
      </c>
      <c r="F238" s="336">
        <f t="shared" si="146"/>
        <v>508.80184036232731</v>
      </c>
      <c r="G238" s="336">
        <f t="shared" si="146"/>
        <v>282.35338416232435</v>
      </c>
      <c r="H238" s="408">
        <f t="shared" si="146"/>
        <v>0</v>
      </c>
      <c r="I238" s="14">
        <f t="shared" si="146"/>
        <v>170.66154739205922</v>
      </c>
      <c r="J238" s="14">
        <f t="shared" si="146"/>
        <v>272.12860556678697</v>
      </c>
      <c r="K238" s="14">
        <f t="shared" si="146"/>
        <v>222.50673288685903</v>
      </c>
      <c r="L238" s="14">
        <f t="shared" si="146"/>
        <v>12.328132359655683</v>
      </c>
      <c r="M238" s="14">
        <f t="shared" si="146"/>
        <v>-104.96197638033846</v>
      </c>
      <c r="N238" s="188">
        <f t="shared" si="146"/>
        <v>0</v>
      </c>
      <c r="O238" s="14">
        <f t="shared" si="146"/>
        <v>2.3816923033946296</v>
      </c>
      <c r="P238" s="14">
        <f t="shared" si="146"/>
        <v>51.007332278451031</v>
      </c>
      <c r="Q238" s="14">
        <f t="shared" si="146"/>
        <v>12.342723878185097</v>
      </c>
      <c r="R238" s="14">
        <f t="shared" si="146"/>
        <v>38.355150666984628</v>
      </c>
      <c r="S238" s="14">
        <f t="shared" si="146"/>
        <v>15.186582786625877</v>
      </c>
      <c r="T238" s="14">
        <f t="shared" si="146"/>
        <v>-35.100770972309874</v>
      </c>
      <c r="U238" s="14">
        <f t="shared" si="146"/>
        <v>40.789912413394632</v>
      </c>
      <c r="V238" s="14">
        <f t="shared" si="146"/>
        <v>3.2399752090350376</v>
      </c>
      <c r="W238" s="14">
        <f t="shared" si="146"/>
        <v>14.173852324404834</v>
      </c>
      <c r="X238" s="188">
        <f t="shared" si="146"/>
        <v>1.7924958228832111E-6</v>
      </c>
      <c r="Y238" s="159">
        <f t="shared" si="146"/>
        <v>-51.041877339042912</v>
      </c>
      <c r="Z238" s="159">
        <f t="shared" si="146"/>
        <v>-76.08469266006523</v>
      </c>
      <c r="AA238" s="159">
        <f t="shared" si="146"/>
        <v>-76.597154839037103</v>
      </c>
      <c r="AB238" s="159">
        <f t="shared" si="146"/>
        <v>-44.917406531882989</v>
      </c>
      <c r="AC238" s="159">
        <f t="shared" si="146"/>
        <v>-71.480186139141551</v>
      </c>
      <c r="AD238" s="159">
        <f t="shared" si="146"/>
        <v>-99.446165803416079</v>
      </c>
      <c r="AE238" s="159">
        <f t="shared" si="146"/>
        <v>-100.55403680213567</v>
      </c>
      <c r="AF238" s="159">
        <f t="shared" si="146"/>
        <v>-97.872130151113197</v>
      </c>
      <c r="AG238" s="159">
        <f t="shared" si="146"/>
        <v>-45.360481184410673</v>
      </c>
      <c r="AH238" s="188">
        <f t="shared" si="146"/>
        <v>6.9751932322105858E-2</v>
      </c>
    </row>
    <row r="239" spans="1:34">
      <c r="A239" t="s">
        <v>422</v>
      </c>
      <c r="C239" s="336">
        <f t="shared" ref="C239:AH239" si="147">C218-C199</f>
        <v>0</v>
      </c>
      <c r="D239" s="336">
        <f t="shared" si="147"/>
        <v>326.80866680809504</v>
      </c>
      <c r="E239" s="336">
        <f t="shared" si="147"/>
        <v>349.27237320925769</v>
      </c>
      <c r="F239" s="336">
        <f t="shared" si="147"/>
        <v>457.92165632609476</v>
      </c>
      <c r="G239" s="336">
        <f t="shared" si="147"/>
        <v>254.11804574609141</v>
      </c>
      <c r="H239" s="408">
        <f t="shared" si="147"/>
        <v>0</v>
      </c>
      <c r="I239" s="14">
        <f t="shared" si="147"/>
        <v>153.59539265285366</v>
      </c>
      <c r="J239" s="14">
        <f t="shared" si="147"/>
        <v>244.91574501010928</v>
      </c>
      <c r="K239" s="14">
        <f t="shared" si="147"/>
        <v>200.25605959817312</v>
      </c>
      <c r="L239" s="14">
        <f t="shared" si="147"/>
        <v>11.095319123690388</v>
      </c>
      <c r="M239" s="14">
        <f t="shared" si="147"/>
        <v>-94.465778742304792</v>
      </c>
      <c r="N239" s="188">
        <f t="shared" si="147"/>
        <v>0</v>
      </c>
      <c r="O239" s="14">
        <f t="shared" si="147"/>
        <v>2.1435230730539843</v>
      </c>
      <c r="P239" s="14">
        <f t="shared" si="147"/>
        <v>45.906599050605109</v>
      </c>
      <c r="Q239" s="14">
        <f t="shared" si="147"/>
        <v>11.108451490365951</v>
      </c>
      <c r="R239" s="14">
        <f t="shared" si="147"/>
        <v>34.519635600286165</v>
      </c>
      <c r="S239" s="14">
        <f t="shared" si="147"/>
        <v>13.667924507963107</v>
      </c>
      <c r="T239" s="14">
        <f t="shared" si="147"/>
        <v>-31.590693875079523</v>
      </c>
      <c r="U239" s="14">
        <f t="shared" si="147"/>
        <v>36.710921172054441</v>
      </c>
      <c r="V239" s="14">
        <f t="shared" si="147"/>
        <v>2.9159776881306243</v>
      </c>
      <c r="W239" s="14">
        <f t="shared" si="147"/>
        <v>12.756467091963714</v>
      </c>
      <c r="X239" s="188">
        <f t="shared" si="147"/>
        <v>1.6132453311001882E-6</v>
      </c>
      <c r="Y239" s="159">
        <f t="shared" si="147"/>
        <v>-45.937689605138985</v>
      </c>
      <c r="Z239" s="159">
        <f t="shared" si="147"/>
        <v>-68.476223394059161</v>
      </c>
      <c r="AA239" s="159">
        <f t="shared" si="147"/>
        <v>-68.937439355134302</v>
      </c>
      <c r="AB239" s="159">
        <f t="shared" si="147"/>
        <v>-40.425665878694417</v>
      </c>
      <c r="AC239" s="159">
        <f t="shared" si="147"/>
        <v>-64.332167525227305</v>
      </c>
      <c r="AD239" s="159">
        <f t="shared" si="147"/>
        <v>-89.501549223075017</v>
      </c>
      <c r="AE239" s="159">
        <f t="shared" si="147"/>
        <v>-90.498633121921557</v>
      </c>
      <c r="AF239" s="159">
        <f t="shared" si="147"/>
        <v>-88.084917136001422</v>
      </c>
      <c r="AG239" s="159">
        <f t="shared" si="147"/>
        <v>-40.82443306596997</v>
      </c>
      <c r="AH239" s="188">
        <f t="shared" si="147"/>
        <v>6.2776739089713374E-2</v>
      </c>
    </row>
    <row r="240" spans="1:34">
      <c r="A240" t="s">
        <v>394</v>
      </c>
      <c r="C240" s="336">
        <f>C219-C200</f>
        <v>2.9260000000040236</v>
      </c>
      <c r="D240" s="336">
        <f t="shared" ref="D240:AH240" si="148">D219-D200+D249+D252</f>
        <v>-694.64668541406991</v>
      </c>
      <c r="E240" s="336">
        <f t="shared" si="148"/>
        <v>-872.163184694753</v>
      </c>
      <c r="F240" s="336">
        <f t="shared" si="148"/>
        <v>-1189.5052393815586</v>
      </c>
      <c r="G240" s="336">
        <f t="shared" si="148"/>
        <v>-867.46822871747645</v>
      </c>
      <c r="H240" s="408">
        <f t="shared" si="148"/>
        <v>-29.801748347705143</v>
      </c>
      <c r="I240" s="14">
        <f t="shared" si="148"/>
        <v>-229.2910414443395</v>
      </c>
      <c r="J240" s="14">
        <f t="shared" si="148"/>
        <v>-213.40215362072013</v>
      </c>
      <c r="K240" s="14">
        <f t="shared" si="148"/>
        <v>-374.36532836053084</v>
      </c>
      <c r="L240" s="14">
        <f t="shared" si="148"/>
        <v>-229.48411508896424</v>
      </c>
      <c r="M240" s="14">
        <f t="shared" si="148"/>
        <v>-231.41508047327079</v>
      </c>
      <c r="N240" s="188">
        <f t="shared" si="148"/>
        <v>-545.90331497388615</v>
      </c>
      <c r="O240" s="14">
        <f t="shared" si="148"/>
        <v>-414.56631754388764</v>
      </c>
      <c r="P240" s="14">
        <f t="shared" si="148"/>
        <v>-633.11461266739207</v>
      </c>
      <c r="Q240" s="14">
        <f t="shared" si="148"/>
        <v>-672.23056424942661</v>
      </c>
      <c r="R240" s="14">
        <f t="shared" si="148"/>
        <v>-885.9569356001175</v>
      </c>
      <c r="S240" s="14">
        <f t="shared" si="148"/>
        <v>-1007.3422605520373</v>
      </c>
      <c r="T240" s="14">
        <f t="shared" si="148"/>
        <v>-1090.6377908060276</v>
      </c>
      <c r="U240" s="14">
        <f t="shared" si="148"/>
        <v>-1469.3945207140423</v>
      </c>
      <c r="V240" s="14">
        <f t="shared" si="148"/>
        <v>-1605.1852717913243</v>
      </c>
      <c r="W240" s="14">
        <f t="shared" si="148"/>
        <v>-1858.2802833533478</v>
      </c>
      <c r="X240" s="188">
        <f t="shared" si="148"/>
        <v>-2084.3423251373406</v>
      </c>
      <c r="Y240" s="159">
        <f t="shared" si="148"/>
        <v>-1972.1082770322664</v>
      </c>
      <c r="Z240" s="159">
        <f t="shared" si="148"/>
        <v>-1943.8885695463068</v>
      </c>
      <c r="AA240" s="159">
        <f t="shared" si="148"/>
        <v>-1970.759609571589</v>
      </c>
      <c r="AB240" s="159">
        <f t="shared" si="148"/>
        <v>-2051.7744666833678</v>
      </c>
      <c r="AC240" s="159">
        <f t="shared" si="148"/>
        <v>-1996.3291464748072</v>
      </c>
      <c r="AD240" s="159">
        <f t="shared" si="148"/>
        <v>-1951.2052631606475</v>
      </c>
      <c r="AE240" s="159">
        <f t="shared" si="148"/>
        <v>-1917.6128727418418</v>
      </c>
      <c r="AF240" s="159">
        <f t="shared" si="148"/>
        <v>-1837.2289200123232</v>
      </c>
      <c r="AG240" s="159">
        <f t="shared" si="148"/>
        <v>-1906.6664723105496</v>
      </c>
      <c r="AH240" s="188">
        <f t="shared" si="148"/>
        <v>-1952.3036760947489</v>
      </c>
    </row>
    <row r="241" spans="1:34">
      <c r="A241" t="s">
        <v>423</v>
      </c>
      <c r="C241" s="336">
        <f>C220-C201</f>
        <v>1.5400000000017826</v>
      </c>
      <c r="D241" s="336">
        <f t="shared" ref="D241:AH241" si="149">D220-D201+D250+D253</f>
        <v>-365.60351863898359</v>
      </c>
      <c r="E241" s="336">
        <f t="shared" si="149"/>
        <v>-459.03325510250124</v>
      </c>
      <c r="F241" s="336">
        <f t="shared" si="149"/>
        <v>-626.05538914818862</v>
      </c>
      <c r="G241" s="336">
        <f t="shared" si="149"/>
        <v>-456.56222564077689</v>
      </c>
      <c r="H241" s="408">
        <f t="shared" si="149"/>
        <v>-15.6851307093184</v>
      </c>
      <c r="I241" s="14">
        <f t="shared" si="149"/>
        <v>-120.67949549702007</v>
      </c>
      <c r="J241" s="14">
        <f t="shared" si="149"/>
        <v>-112.3169229582727</v>
      </c>
      <c r="K241" s="14">
        <f t="shared" si="149"/>
        <v>-197.03438334764814</v>
      </c>
      <c r="L241" s="14">
        <f t="shared" si="149"/>
        <v>-120.78111320471726</v>
      </c>
      <c r="M241" s="14">
        <f t="shared" si="149"/>
        <v>-121.7974107754053</v>
      </c>
      <c r="N241" s="188">
        <f t="shared" si="149"/>
        <v>-287.31753419678171</v>
      </c>
      <c r="O241" s="14">
        <f t="shared" si="149"/>
        <v>-218.19279870730952</v>
      </c>
      <c r="P241" s="14">
        <f t="shared" si="149"/>
        <v>-333.21821719336367</v>
      </c>
      <c r="Q241" s="14">
        <f t="shared" si="149"/>
        <v>-353.80556013127807</v>
      </c>
      <c r="R241" s="14">
        <f t="shared" si="149"/>
        <v>-466.29312400006165</v>
      </c>
      <c r="S241" s="14">
        <f t="shared" si="149"/>
        <v>-530.180137132651</v>
      </c>
      <c r="T241" s="14">
        <f t="shared" si="149"/>
        <v>-574.0198898979088</v>
      </c>
      <c r="U241" s="14">
        <f t="shared" si="149"/>
        <v>-773.36553721791643</v>
      </c>
      <c r="V241" s="14">
        <f t="shared" si="149"/>
        <v>-844.83435357438066</v>
      </c>
      <c r="W241" s="14">
        <f t="shared" si="149"/>
        <v>-978.04225439649872</v>
      </c>
      <c r="X241" s="188">
        <f t="shared" si="149"/>
        <v>-1097.0222763880747</v>
      </c>
      <c r="Y241" s="159">
        <f t="shared" si="149"/>
        <v>-1037.9517247538242</v>
      </c>
      <c r="Z241" s="159">
        <f t="shared" si="149"/>
        <v>-1023.0992471296349</v>
      </c>
      <c r="AA241" s="159">
        <f t="shared" si="149"/>
        <v>-1037.2418997745208</v>
      </c>
      <c r="AB241" s="159">
        <f t="shared" si="149"/>
        <v>-1079.8812982544041</v>
      </c>
      <c r="AC241" s="159">
        <f t="shared" si="149"/>
        <v>-1050.6995507762149</v>
      </c>
      <c r="AD241" s="159">
        <f t="shared" si="149"/>
        <v>-1026.9501385056037</v>
      </c>
      <c r="AE241" s="159">
        <f t="shared" si="149"/>
        <v>-1009.2699330220221</v>
      </c>
      <c r="AF241" s="159">
        <f t="shared" si="149"/>
        <v>-966.9625894801693</v>
      </c>
      <c r="AG241" s="159">
        <f t="shared" si="149"/>
        <v>-1003.5086696371309</v>
      </c>
      <c r="AH241" s="188">
        <f t="shared" si="149"/>
        <v>-1027.5282505761843</v>
      </c>
    </row>
    <row r="242" spans="1:34">
      <c r="A242" t="s">
        <v>424</v>
      </c>
      <c r="C242" s="336">
        <f>C221-C202</f>
        <v>1.3860000000017862</v>
      </c>
      <c r="D242" s="336">
        <f t="shared" ref="D242:AH242" si="150">D221-D202+D251+D254</f>
        <v>-329.04316677508541</v>
      </c>
      <c r="E242" s="336">
        <f t="shared" si="150"/>
        <v>-413.12992959225176</v>
      </c>
      <c r="F242" s="336">
        <f t="shared" si="150"/>
        <v>-563.44985023337085</v>
      </c>
      <c r="G242" s="336">
        <f t="shared" si="150"/>
        <v>-410.90600307669956</v>
      </c>
      <c r="H242" s="408">
        <f t="shared" si="150"/>
        <v>-14.116617638385833</v>
      </c>
      <c r="I242" s="14">
        <f t="shared" si="150"/>
        <v>-108.61154594731761</v>
      </c>
      <c r="J242" s="14">
        <f t="shared" si="150"/>
        <v>-101.08523066244652</v>
      </c>
      <c r="K242" s="14">
        <f t="shared" si="150"/>
        <v>-177.3309450128836</v>
      </c>
      <c r="L242" s="14">
        <f t="shared" si="150"/>
        <v>-108.70300188424699</v>
      </c>
      <c r="M242" s="14">
        <f t="shared" si="150"/>
        <v>-109.61766969786549</v>
      </c>
      <c r="N242" s="188">
        <f t="shared" si="150"/>
        <v>-258.58578077710445</v>
      </c>
      <c r="O242" s="14">
        <f t="shared" si="150"/>
        <v>-196.37351883657811</v>
      </c>
      <c r="P242" s="14">
        <f t="shared" si="150"/>
        <v>-299.8963954740284</v>
      </c>
      <c r="Q242" s="14">
        <f t="shared" si="150"/>
        <v>-318.42500411814945</v>
      </c>
      <c r="R242" s="14">
        <f t="shared" si="150"/>
        <v>-419.66381160005585</v>
      </c>
      <c r="S242" s="14">
        <f t="shared" si="150"/>
        <v>-477.16212341938535</v>
      </c>
      <c r="T242" s="14">
        <f t="shared" si="150"/>
        <v>-516.61790090811792</v>
      </c>
      <c r="U242" s="14">
        <f t="shared" si="150"/>
        <v>-696.02898349612587</v>
      </c>
      <c r="V242" s="14">
        <f t="shared" si="150"/>
        <v>-760.35091821694368</v>
      </c>
      <c r="W242" s="14">
        <f t="shared" si="150"/>
        <v>-880.23802895684912</v>
      </c>
      <c r="X242" s="188">
        <f t="shared" si="150"/>
        <v>-987.32004874926679</v>
      </c>
      <c r="Y242" s="159">
        <f t="shared" si="150"/>
        <v>-934.15655227844218</v>
      </c>
      <c r="Z242" s="159">
        <f t="shared" si="150"/>
        <v>-920.78932241667098</v>
      </c>
      <c r="AA242" s="159">
        <f t="shared" si="150"/>
        <v>-933.51770979706816</v>
      </c>
      <c r="AB242" s="159">
        <f t="shared" si="150"/>
        <v>-971.89316842896369</v>
      </c>
      <c r="AC242" s="159">
        <f t="shared" si="150"/>
        <v>-945.62959569859231</v>
      </c>
      <c r="AD242" s="159">
        <f t="shared" si="150"/>
        <v>-924.2551246550438</v>
      </c>
      <c r="AE242" s="159">
        <f t="shared" si="150"/>
        <v>-908.3429397198197</v>
      </c>
      <c r="AF242" s="159">
        <f t="shared" si="150"/>
        <v>-870.26633053215301</v>
      </c>
      <c r="AG242" s="159">
        <f t="shared" si="150"/>
        <v>-903.1578026734187</v>
      </c>
      <c r="AH242" s="188">
        <f t="shared" si="150"/>
        <v>-924.77542551856459</v>
      </c>
    </row>
    <row r="243" spans="1:34" s="1" customFormat="1">
      <c r="A243" s="1" t="s">
        <v>405</v>
      </c>
      <c r="B243" s="13"/>
      <c r="C243" s="346">
        <f>C222-C203</f>
        <v>2.9257300000026589</v>
      </c>
      <c r="D243" s="346">
        <f t="shared" ref="D243:AH243" si="151">D222-D203+D249+D252</f>
        <v>292.82608353161049</v>
      </c>
      <c r="E243" s="346">
        <f t="shared" si="151"/>
        <v>244.05146212314503</v>
      </c>
      <c r="F243" s="346">
        <f t="shared" si="151"/>
        <v>387.75649047586194</v>
      </c>
      <c r="G243" s="346">
        <f t="shared" si="151"/>
        <v>434.10810684931494</v>
      </c>
      <c r="H243" s="411">
        <f t="shared" si="151"/>
        <v>-29.802018347705598</v>
      </c>
      <c r="I243" s="15">
        <f t="shared" si="151"/>
        <v>351.25383975271689</v>
      </c>
      <c r="J243" s="15">
        <f t="shared" si="151"/>
        <v>365.80352096491697</v>
      </c>
      <c r="K243" s="15">
        <f t="shared" si="151"/>
        <v>592.02047347903499</v>
      </c>
      <c r="L243" s="15">
        <f t="shared" si="151"/>
        <v>646.27570125075363</v>
      </c>
      <c r="M243" s="15">
        <f t="shared" si="151"/>
        <v>730.44954668526043</v>
      </c>
      <c r="N243" s="191">
        <f t="shared" si="151"/>
        <v>855.08938750496964</v>
      </c>
      <c r="O243" s="15">
        <f t="shared" si="151"/>
        <v>648.45432163249279</v>
      </c>
      <c r="P243" s="15">
        <f t="shared" si="151"/>
        <v>782.91722725059662</v>
      </c>
      <c r="Q243" s="15">
        <f t="shared" si="151"/>
        <v>833.20168193003337</v>
      </c>
      <c r="R243" s="15">
        <f t="shared" si="151"/>
        <v>987.54259931355773</v>
      </c>
      <c r="S243" s="15">
        <f t="shared" si="151"/>
        <v>1110.0542792631022</v>
      </c>
      <c r="T243" s="15">
        <f t="shared" si="151"/>
        <v>1232.6326605711583</v>
      </c>
      <c r="U243" s="15">
        <f t="shared" si="151"/>
        <v>1493.3131534393178</v>
      </c>
      <c r="V243" s="15">
        <f t="shared" si="151"/>
        <v>1647.7135416800957</v>
      </c>
      <c r="W243" s="15">
        <f t="shared" si="151"/>
        <v>1872.24242942005</v>
      </c>
      <c r="X243" s="191">
        <f t="shared" si="151"/>
        <v>2108.3360326316542</v>
      </c>
      <c r="Y243" s="131">
        <f t="shared" si="151"/>
        <v>2104.6157716858434</v>
      </c>
      <c r="Z243" s="131">
        <f t="shared" si="151"/>
        <v>2130.3325295829272</v>
      </c>
      <c r="AA243" s="131">
        <f t="shared" si="151"/>
        <v>2170.1288882055414</v>
      </c>
      <c r="AB243" s="131">
        <f t="shared" si="151"/>
        <v>2254.9898533032829</v>
      </c>
      <c r="AC243" s="131">
        <f t="shared" si="151"/>
        <v>2283.9596244865679</v>
      </c>
      <c r="AD243" s="131">
        <f t="shared" si="151"/>
        <v>2331.4344404486692</v>
      </c>
      <c r="AE243" s="131">
        <f t="shared" si="151"/>
        <v>2437.2526845210486</v>
      </c>
      <c r="AF243" s="131">
        <f t="shared" si="151"/>
        <v>2612.1374959693894</v>
      </c>
      <c r="AG243" s="131">
        <f t="shared" si="151"/>
        <v>2837.6644585058784</v>
      </c>
      <c r="AH243" s="191">
        <f t="shared" si="151"/>
        <v>3036.2818826022703</v>
      </c>
    </row>
    <row r="244" spans="1:34">
      <c r="A244" t="s">
        <v>445</v>
      </c>
      <c r="C244" s="336"/>
      <c r="D244" s="336">
        <f>D231+D234</f>
        <v>297.54336123969836</v>
      </c>
      <c r="E244" s="336">
        <f t="shared" ref="E244:N244" si="152">E231+E234</f>
        <v>378.86185893168874</v>
      </c>
      <c r="F244" s="336">
        <f t="shared" si="152"/>
        <v>610.53823316899729</v>
      </c>
      <c r="G244" s="336">
        <f t="shared" si="152"/>
        <v>765.10490565837608</v>
      </c>
      <c r="H244" s="408">
        <f t="shared" si="152"/>
        <v>-2.7000000000043656E-4</v>
      </c>
      <c r="I244" s="14">
        <f t="shared" si="152"/>
        <v>256.28794115214464</v>
      </c>
      <c r="J244" s="14">
        <f t="shared" si="152"/>
        <v>62.161324008744032</v>
      </c>
      <c r="K244" s="14">
        <f t="shared" si="152"/>
        <v>543.62300935453186</v>
      </c>
      <c r="L244" s="14">
        <f t="shared" si="152"/>
        <v>852.3363648563718</v>
      </c>
      <c r="M244" s="14">
        <f t="shared" si="152"/>
        <v>1161.2923822811736</v>
      </c>
      <c r="N244" s="188">
        <f t="shared" si="152"/>
        <v>1400.9927024788567</v>
      </c>
      <c r="O244" s="14">
        <f>O231+O234</f>
        <v>1058.4954237999332</v>
      </c>
      <c r="P244" s="14">
        <f t="shared" ref="P244:AH244" si="153">P231+P234</f>
        <v>1319.1179085889294</v>
      </c>
      <c r="Q244" s="14">
        <f t="shared" si="153"/>
        <v>1481.9810708109098</v>
      </c>
      <c r="R244" s="14">
        <f t="shared" si="153"/>
        <v>1800.6247486464017</v>
      </c>
      <c r="S244" s="14">
        <f t="shared" si="153"/>
        <v>2088.5420325205496</v>
      </c>
      <c r="T244" s="14">
        <f t="shared" si="153"/>
        <v>2389.9619162245745</v>
      </c>
      <c r="U244" s="14">
        <f t="shared" si="153"/>
        <v>2885.2068405679097</v>
      </c>
      <c r="V244" s="14">
        <f t="shared" si="153"/>
        <v>3246.7428605742539</v>
      </c>
      <c r="W244" s="14">
        <f t="shared" si="153"/>
        <v>3703.5923933570266</v>
      </c>
      <c r="X244" s="188">
        <f t="shared" si="153"/>
        <v>4192.6783543632555</v>
      </c>
      <c r="Y244" s="159">
        <f t="shared" si="153"/>
        <v>4173.7036156622889</v>
      </c>
      <c r="Z244" s="159">
        <f t="shared" si="153"/>
        <v>4218.7820151833585</v>
      </c>
      <c r="AA244" s="159">
        <f t="shared" si="153"/>
        <v>4286.4230919713009</v>
      </c>
      <c r="AB244" s="159">
        <f t="shared" si="153"/>
        <v>4392.1073923972253</v>
      </c>
      <c r="AC244" s="159">
        <f t="shared" si="153"/>
        <v>4416.1011246257403</v>
      </c>
      <c r="AD244" s="159">
        <f t="shared" si="153"/>
        <v>4471.5874186358087</v>
      </c>
      <c r="AE244" s="159">
        <f t="shared" si="153"/>
        <v>4545.9182271869495</v>
      </c>
      <c r="AF244" s="159">
        <f t="shared" si="153"/>
        <v>4635.3234632688245</v>
      </c>
      <c r="AG244" s="159">
        <f t="shared" si="153"/>
        <v>4830.5158450668096</v>
      </c>
      <c r="AH244" s="188">
        <f t="shared" si="153"/>
        <v>4988.4530300256065</v>
      </c>
    </row>
    <row r="245" spans="1:34">
      <c r="A245" t="s">
        <v>446</v>
      </c>
      <c r="D245" s="336">
        <f>D231+D234+D237</f>
        <v>987.47276894567688</v>
      </c>
      <c r="E245" s="336">
        <f t="shared" ref="E245:N245" si="154">E231+E234+E237</f>
        <v>1116.2146468179003</v>
      </c>
      <c r="F245" s="336">
        <f t="shared" si="154"/>
        <v>1577.2617298574198</v>
      </c>
      <c r="G245" s="336">
        <f t="shared" si="154"/>
        <v>1301.5763355667923</v>
      </c>
      <c r="H245" s="408">
        <f t="shared" si="154"/>
        <v>-2.7000000000043656E-4</v>
      </c>
      <c r="I245" s="14">
        <f t="shared" si="154"/>
        <v>580.54488119705752</v>
      </c>
      <c r="J245" s="14">
        <f t="shared" si="154"/>
        <v>579.20567458563937</v>
      </c>
      <c r="K245" s="14">
        <f t="shared" si="154"/>
        <v>966.3858018395631</v>
      </c>
      <c r="L245" s="14">
        <f t="shared" si="154"/>
        <v>875.75981633971787</v>
      </c>
      <c r="M245" s="14">
        <f t="shared" si="154"/>
        <v>961.86462715853122</v>
      </c>
      <c r="N245" s="188">
        <f t="shared" si="154"/>
        <v>1400.9927024788567</v>
      </c>
      <c r="O245" s="14">
        <f>O231+O234+O237</f>
        <v>1063.0206391763818</v>
      </c>
      <c r="P245" s="14">
        <f t="shared" ref="P245:AH245" si="155">P231+P234+P237</f>
        <v>1416.0318399179855</v>
      </c>
      <c r="Q245" s="14">
        <f t="shared" si="155"/>
        <v>1505.4322461794609</v>
      </c>
      <c r="R245" s="14">
        <f t="shared" si="155"/>
        <v>1873.4995349136734</v>
      </c>
      <c r="S245" s="14">
        <f t="shared" si="155"/>
        <v>2117.3965398151386</v>
      </c>
      <c r="T245" s="14">
        <f t="shared" si="155"/>
        <v>2323.270451377186</v>
      </c>
      <c r="U245" s="14">
        <f t="shared" si="155"/>
        <v>2962.7076741533588</v>
      </c>
      <c r="V245" s="14">
        <f t="shared" si="155"/>
        <v>3252.8988134714205</v>
      </c>
      <c r="W245" s="14">
        <f t="shared" si="155"/>
        <v>3730.5227127733961</v>
      </c>
      <c r="X245" s="188">
        <f t="shared" si="155"/>
        <v>4192.6783577689966</v>
      </c>
      <c r="Y245" s="159">
        <f t="shared" si="155"/>
        <v>4076.724048718108</v>
      </c>
      <c r="Z245" s="159">
        <f t="shared" si="155"/>
        <v>4074.2210991292341</v>
      </c>
      <c r="AA245" s="159">
        <f t="shared" si="155"/>
        <v>4140.8884977771286</v>
      </c>
      <c r="AB245" s="159">
        <f t="shared" si="155"/>
        <v>4306.764319986647</v>
      </c>
      <c r="AC245" s="159">
        <f t="shared" si="155"/>
        <v>4280.2887709613715</v>
      </c>
      <c r="AD245" s="159">
        <f t="shared" si="155"/>
        <v>4282.6397036093167</v>
      </c>
      <c r="AE245" s="159">
        <f t="shared" si="155"/>
        <v>4354.8655572628913</v>
      </c>
      <c r="AF245" s="159">
        <f t="shared" si="155"/>
        <v>4449.3664159817099</v>
      </c>
      <c r="AG245" s="159">
        <f t="shared" si="155"/>
        <v>4744.330930816428</v>
      </c>
      <c r="AH245" s="188">
        <f t="shared" si="155"/>
        <v>4988.5855586970192</v>
      </c>
    </row>
    <row r="246" spans="1:34" s="1" customFormat="1">
      <c r="A246" s="1" t="s">
        <v>449</v>
      </c>
      <c r="B246" s="13"/>
      <c r="C246" s="333"/>
      <c r="D246" s="346">
        <f>D243</f>
        <v>292.82608353161049</v>
      </c>
      <c r="E246" s="346">
        <f>D246+E243</f>
        <v>536.87754565475552</v>
      </c>
      <c r="F246" s="346">
        <f>E246+F243</f>
        <v>924.63403613061746</v>
      </c>
      <c r="G246" s="346">
        <f>F246+G243</f>
        <v>1358.7421429799324</v>
      </c>
      <c r="H246" s="411"/>
      <c r="I246" s="15">
        <f t="shared" ref="I246:X246" si="156">H246+I243</f>
        <v>351.25383975271689</v>
      </c>
      <c r="J246" s="15">
        <f t="shared" si="156"/>
        <v>717.05736071763386</v>
      </c>
      <c r="K246" s="15">
        <f t="shared" si="156"/>
        <v>1309.0778341966688</v>
      </c>
      <c r="L246" s="15">
        <f t="shared" si="156"/>
        <v>1955.3535354474225</v>
      </c>
      <c r="M246" s="15">
        <f t="shared" si="156"/>
        <v>2685.8030821326829</v>
      </c>
      <c r="N246" s="191">
        <f t="shared" si="156"/>
        <v>3540.8924696376525</v>
      </c>
      <c r="O246" s="15">
        <f t="shared" si="156"/>
        <v>4189.3467912701453</v>
      </c>
      <c r="P246" s="15">
        <f t="shared" si="156"/>
        <v>4972.264018520742</v>
      </c>
      <c r="Q246" s="15">
        <f t="shared" si="156"/>
        <v>5805.4657004507753</v>
      </c>
      <c r="R246" s="15">
        <f t="shared" si="156"/>
        <v>6793.0082997643331</v>
      </c>
      <c r="S246" s="15">
        <f t="shared" si="156"/>
        <v>7903.0625790274353</v>
      </c>
      <c r="T246" s="15">
        <f t="shared" si="156"/>
        <v>9135.6952395985936</v>
      </c>
      <c r="U246" s="15">
        <f t="shared" si="156"/>
        <v>10629.008393037911</v>
      </c>
      <c r="V246" s="15">
        <f t="shared" si="156"/>
        <v>12276.721934718007</v>
      </c>
      <c r="W246" s="15">
        <f t="shared" si="156"/>
        <v>14148.964364138057</v>
      </c>
      <c r="X246" s="191">
        <f t="shared" si="156"/>
        <v>16257.300396769711</v>
      </c>
      <c r="Y246" s="131">
        <f t="shared" ref="Y246:AH246" si="157">X246+Y243</f>
        <v>18361.916168455555</v>
      </c>
      <c r="Z246" s="131">
        <f t="shared" si="157"/>
        <v>20492.248698038482</v>
      </c>
      <c r="AA246" s="131">
        <f t="shared" si="157"/>
        <v>22662.377586244023</v>
      </c>
      <c r="AB246" s="131">
        <f t="shared" si="157"/>
        <v>24917.367439547306</v>
      </c>
      <c r="AC246" s="131">
        <f t="shared" si="157"/>
        <v>27201.327064033874</v>
      </c>
      <c r="AD246" s="131">
        <f t="shared" si="157"/>
        <v>29532.761504482543</v>
      </c>
      <c r="AE246" s="131">
        <f t="shared" si="157"/>
        <v>31970.014189003592</v>
      </c>
      <c r="AF246" s="131">
        <f t="shared" si="157"/>
        <v>34582.151684972981</v>
      </c>
      <c r="AG246" s="131">
        <f t="shared" si="157"/>
        <v>37419.816143478864</v>
      </c>
      <c r="AH246" s="191">
        <f t="shared" si="157"/>
        <v>40456.098026081134</v>
      </c>
    </row>
    <row r="247" spans="1:34">
      <c r="A247" t="s">
        <v>458</v>
      </c>
      <c r="D247" s="348" t="b">
        <f t="shared" ref="D247:AH247" si="158">IF(D185-D246&lt;1,TRUE,FALSE)</f>
        <v>1</v>
      </c>
      <c r="E247" s="348" t="b">
        <f t="shared" si="158"/>
        <v>1</v>
      </c>
      <c r="F247" s="348" t="b">
        <f t="shared" si="158"/>
        <v>1</v>
      </c>
      <c r="G247" s="348" t="b">
        <f t="shared" si="158"/>
        <v>1</v>
      </c>
      <c r="H247" s="414"/>
      <c r="I247" s="134" t="b">
        <f t="shared" si="158"/>
        <v>1</v>
      </c>
      <c r="J247" s="134" t="b">
        <f t="shared" si="158"/>
        <v>1</v>
      </c>
      <c r="K247" s="134" t="b">
        <f t="shared" si="158"/>
        <v>1</v>
      </c>
      <c r="L247" s="134" t="b">
        <f t="shared" si="158"/>
        <v>1</v>
      </c>
      <c r="M247" s="134" t="b">
        <f t="shared" si="158"/>
        <v>1</v>
      </c>
      <c r="N247" s="195" t="b">
        <f t="shared" si="158"/>
        <v>1</v>
      </c>
      <c r="O247" s="134" t="b">
        <f t="shared" si="158"/>
        <v>1</v>
      </c>
      <c r="P247" s="134" t="b">
        <f t="shared" si="158"/>
        <v>1</v>
      </c>
      <c r="Q247" s="134" t="b">
        <f t="shared" si="158"/>
        <v>1</v>
      </c>
      <c r="R247" s="134" t="b">
        <f t="shared" si="158"/>
        <v>1</v>
      </c>
      <c r="S247" s="134" t="b">
        <f t="shared" si="158"/>
        <v>1</v>
      </c>
      <c r="T247" s="134" t="b">
        <f t="shared" si="158"/>
        <v>1</v>
      </c>
      <c r="U247" s="134" t="b">
        <f t="shared" si="158"/>
        <v>1</v>
      </c>
      <c r="V247" s="134" t="b">
        <f t="shared" si="158"/>
        <v>1</v>
      </c>
      <c r="W247" s="134" t="b">
        <f t="shared" si="158"/>
        <v>1</v>
      </c>
      <c r="X247" s="195" t="b">
        <f t="shared" si="158"/>
        <v>1</v>
      </c>
      <c r="Y247" s="291" t="b">
        <f t="shared" si="158"/>
        <v>1</v>
      </c>
      <c r="Z247" s="291" t="b">
        <f t="shared" si="158"/>
        <v>1</v>
      </c>
      <c r="AA247" s="291" t="b">
        <f t="shared" si="158"/>
        <v>1</v>
      </c>
      <c r="AB247" s="291" t="b">
        <f t="shared" si="158"/>
        <v>1</v>
      </c>
      <c r="AC247" s="291" t="b">
        <f t="shared" si="158"/>
        <v>1</v>
      </c>
      <c r="AD247" s="291" t="b">
        <f t="shared" si="158"/>
        <v>1</v>
      </c>
      <c r="AE247" s="291" t="b">
        <f t="shared" si="158"/>
        <v>1</v>
      </c>
      <c r="AF247" s="291" t="b">
        <f t="shared" si="158"/>
        <v>1</v>
      </c>
      <c r="AG247" s="291" t="b">
        <f t="shared" si="158"/>
        <v>1</v>
      </c>
      <c r="AH247" s="195" t="b">
        <f t="shared" si="158"/>
        <v>1</v>
      </c>
    </row>
    <row r="248" spans="1:34">
      <c r="A248" t="s">
        <v>439</v>
      </c>
    </row>
    <row r="249" spans="1:34" s="1" customFormat="1">
      <c r="A249" s="1" t="s">
        <v>440</v>
      </c>
      <c r="B249" s="13"/>
      <c r="C249" s="333"/>
      <c r="D249" s="346">
        <f>D$29*(EIA_electricity_aeo2014!F$60) * Inputs!$M$60</f>
        <v>0</v>
      </c>
      <c r="E249" s="346">
        <f>E$29*(EIA_electricity_aeo2014!G$60) * Inputs!$M$60</f>
        <v>0</v>
      </c>
      <c r="F249" s="346">
        <f>F$29*(EIA_electricity_aeo2014!H$60) * Inputs!$M$60</f>
        <v>0</v>
      </c>
      <c r="G249" s="346">
        <f>G$29*(EIA_electricity_aeo2014!I$60) * Inputs!$M$60</f>
        <v>0</v>
      </c>
      <c r="H249" s="411">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442</v>
      </c>
      <c r="D250" s="336">
        <f>D$29*(EIA_electricity_aeo2014!F$60) * Inputs!$C$60</f>
        <v>0</v>
      </c>
      <c r="E250" s="336">
        <f>E$29*(EIA_electricity_aeo2014!G$60) * Inputs!$C$60</f>
        <v>0</v>
      </c>
      <c r="F250" s="336">
        <f>F$29*(EIA_electricity_aeo2014!H$60) * Inputs!$C$60</f>
        <v>0</v>
      </c>
      <c r="G250" s="336">
        <f>G$29*(EIA_electricity_aeo2014!I$60) * Inputs!$C$60</f>
        <v>0</v>
      </c>
      <c r="H250" s="408">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443</v>
      </c>
      <c r="D251" s="336">
        <f>D250*Inputs!$H$60</f>
        <v>0</v>
      </c>
      <c r="E251" s="336">
        <f>E250*Inputs!$H$60</f>
        <v>0</v>
      </c>
      <c r="F251" s="336">
        <f>F250*Inputs!$H$60</f>
        <v>0</v>
      </c>
      <c r="G251" s="336">
        <f>G250*Inputs!$H$60</f>
        <v>0</v>
      </c>
      <c r="H251" s="408">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441</v>
      </c>
      <c r="B252" s="13"/>
      <c r="C252" s="333"/>
      <c r="D252" s="346">
        <f>D$29*(1-EIA_electricity_aeo2014!F$60) * Inputs!$M$61</f>
        <v>0</v>
      </c>
      <c r="E252" s="346">
        <f>E$29*(1-EIA_electricity_aeo2014!G$60) * Inputs!$M$61</f>
        <v>0</v>
      </c>
      <c r="F252" s="346">
        <f>F$29*(1-EIA_electricity_aeo2014!H$60) * Inputs!$M$61</f>
        <v>0</v>
      </c>
      <c r="G252" s="346">
        <f>G$29*(1-EIA_electricity_aeo2014!I$60) * Inputs!$M$61</f>
        <v>0</v>
      </c>
      <c r="H252" s="411">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442</v>
      </c>
      <c r="D253" s="336">
        <f>D$29*(1-EIA_electricity_aeo2014!F$60) * Inputs!$C$61</f>
        <v>0</v>
      </c>
      <c r="E253" s="336">
        <f>E$29*(1-EIA_electricity_aeo2014!G$60) * Inputs!$C$61</f>
        <v>0</v>
      </c>
      <c r="F253" s="336">
        <f>F$29*(1-EIA_electricity_aeo2014!H$60) * Inputs!$C$61</f>
        <v>0</v>
      </c>
      <c r="G253" s="336">
        <f>G$29*(1-EIA_electricity_aeo2014!I$60) * Inputs!$C$61</f>
        <v>0</v>
      </c>
      <c r="H253" s="408">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443</v>
      </c>
      <c r="D254" s="336">
        <f>D253*Inputs!$H$61</f>
        <v>0</v>
      </c>
      <c r="E254" s="336">
        <f>E253*Inputs!$H$61</f>
        <v>0</v>
      </c>
      <c r="F254" s="336">
        <f>F253*Inputs!$H$61</f>
        <v>0</v>
      </c>
      <c r="G254" s="336">
        <f>G253*Inputs!$H$61</f>
        <v>0</v>
      </c>
      <c r="H254" s="408">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T3"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32" bestFit="1" customWidth="1"/>
    <col min="4" max="4" width="12.33203125" style="332" customWidth="1"/>
    <col min="5" max="5" width="14.1640625" style="332" customWidth="1"/>
    <col min="6" max="6" width="11.33203125" style="332" bestFit="1" customWidth="1"/>
    <col min="7" max="7" width="14.33203125" style="33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3"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32" t="s">
        <v>0</v>
      </c>
      <c r="D1" s="332" t="s">
        <v>0</v>
      </c>
      <c r="E1" s="399" t="s">
        <v>0</v>
      </c>
    </row>
    <row r="2" spans="1:34" s="1" customFormat="1">
      <c r="B2" s="2" t="s">
        <v>127</v>
      </c>
      <c r="C2" s="333">
        <v>2009</v>
      </c>
      <c r="D2" s="333">
        <v>2010</v>
      </c>
      <c r="E2" s="333">
        <v>2011</v>
      </c>
      <c r="F2" s="333">
        <v>2012</v>
      </c>
      <c r="G2" s="333">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33"/>
      <c r="D3" s="333"/>
      <c r="E3" s="333"/>
      <c r="F3" s="333"/>
      <c r="G3" s="333"/>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111</v>
      </c>
      <c r="B4" s="13"/>
      <c r="C4" s="334">
        <f>EIA_electricity_aeo2014!E58 * 1000</f>
        <v>71416.000000000015</v>
      </c>
      <c r="D4" s="334">
        <f>EIA_electricity_aeo2014!F58 * 1000</f>
        <v>74457</v>
      </c>
      <c r="E4" s="334">
        <f>EIA_electricity_aeo2014!G58 * 1000</f>
        <v>76293.364065392554</v>
      </c>
      <c r="F4" s="334">
        <f>EIA_electricity_aeo2014!H58 * 1000</f>
        <v>79190.798719775295</v>
      </c>
      <c r="G4" s="334">
        <f>EIA_electricity_aeo2014!I58 * 1000</f>
        <v>76322.718233177569</v>
      </c>
      <c r="H4" s="21">
        <f>EIA_electricity_aeo2014!J58 * 1000</f>
        <v>77091.629824424715</v>
      </c>
      <c r="I4" s="21">
        <f>EIA_electricity_aeo2014!K58 * 1000</f>
        <v>82350.845763249701</v>
      </c>
      <c r="J4" s="21">
        <f>EIA_electricity_aeo2014!L58 * 1000</f>
        <v>84934.533013139779</v>
      </c>
      <c r="K4" s="21">
        <f>EIA_electricity_aeo2014!M58 * 1000</f>
        <v>87494.566746146535</v>
      </c>
      <c r="L4" s="21">
        <f>EIA_electricity_aeo2014!N58 * 1000</f>
        <v>86878.246016829988</v>
      </c>
      <c r="M4" s="21">
        <f>EIA_electricity_aeo2014!O58 * 1000</f>
        <v>87584.737708573099</v>
      </c>
      <c r="N4" s="394">
        <f>EIA_electricity_aeo2014!P58 * 1000</f>
        <v>90219.131055163874</v>
      </c>
      <c r="O4" s="21">
        <f>EIA_electricity_aeo2014!Q58 * 1000</f>
        <v>91767.853967265648</v>
      </c>
      <c r="P4" s="21">
        <f>EIA_electricity_aeo2014!R58 * 1000</f>
        <v>94282.111550254878</v>
      </c>
      <c r="Q4" s="21">
        <f>EIA_electricity_aeo2014!S58 * 1000</f>
        <v>95129.758243386197</v>
      </c>
      <c r="R4" s="21">
        <f>EIA_electricity_aeo2014!T58 * 1000</f>
        <v>97328.94759851975</v>
      </c>
      <c r="S4" s="21">
        <f>EIA_electricity_aeo2014!U58 * 1000</f>
        <v>98583.533038249094</v>
      </c>
      <c r="T4" s="21">
        <f>EIA_electricity_aeo2014!V58 * 1000</f>
        <v>99309.667962477863</v>
      </c>
      <c r="U4" s="21">
        <f>EIA_electricity_aeo2014!W58 * 1000</f>
        <v>102783.89561538734</v>
      </c>
      <c r="V4" s="21">
        <f>EIA_electricity_aeo2014!X58 * 1000</f>
        <v>103896.19345171662</v>
      </c>
      <c r="W4" s="21">
        <f>EIA_electricity_aeo2014!Y58 * 1000</f>
        <v>106137.31139395847</v>
      </c>
      <c r="X4" s="394">
        <f>EIA_electricity_aeo2014!Z58 * 1000</f>
        <v>107892.79456637295</v>
      </c>
      <c r="Y4" s="21">
        <f>EIA_electricity_aeo2014!AA58 * 1000</f>
        <v>107812.93018236024</v>
      </c>
      <c r="Z4" s="21">
        <f>EIA_electricity_aeo2014!AB58 * 1000</f>
        <v>108387.35799686275</v>
      </c>
      <c r="AA4" s="21">
        <f>EIA_electricity_aeo2014!AC58 * 1000</f>
        <v>109501.01769888407</v>
      </c>
      <c r="AB4" s="21">
        <f>EIA_electricity_aeo2014!AD58 * 1000</f>
        <v>111404.17956071081</v>
      </c>
      <c r="AC4" s="21">
        <f>EIA_electricity_aeo2014!AE58 * 1000</f>
        <v>111946.92731426167</v>
      </c>
      <c r="AD4" s="21">
        <f>EIA_electricity_aeo2014!AF58 * 1000</f>
        <v>113025.37754525511</v>
      </c>
      <c r="AE4" s="21">
        <f>EIA_electricity_aeo2014!AG58 * 1000</f>
        <v>114361.93510848544</v>
      </c>
      <c r="AF4" s="21">
        <f>EIA_electricity_aeo2014!AH58 * 1000</f>
        <v>115681.38826358411</v>
      </c>
      <c r="AG4" s="21">
        <f>EIA_electricity_aeo2014!AI58 * 1000</f>
        <v>118911.35088705645</v>
      </c>
      <c r="AH4" s="21">
        <f>EIA_electricity_aeo2014!AJ58 * 1000</f>
        <v>121531.50109463718</v>
      </c>
    </row>
    <row r="5" spans="1:34">
      <c r="A5" s="9" t="s">
        <v>61</v>
      </c>
      <c r="B5" s="34">
        <v>0</v>
      </c>
      <c r="C5" s="335">
        <v>0</v>
      </c>
      <c r="D5" s="335"/>
      <c r="E5" s="335"/>
      <c r="F5" s="335"/>
      <c r="G5" s="335"/>
      <c r="H5" s="3"/>
      <c r="I5" s="3"/>
      <c r="J5" s="3"/>
      <c r="K5" s="3"/>
      <c r="L5" s="3"/>
      <c r="M5" s="3"/>
      <c r="N5" s="394"/>
      <c r="O5" s="3"/>
      <c r="P5" s="3"/>
      <c r="Q5" s="3"/>
      <c r="R5" s="3"/>
      <c r="S5" s="3"/>
      <c r="T5" s="3"/>
      <c r="U5" s="3"/>
      <c r="V5" s="3"/>
      <c r="W5" s="3"/>
      <c r="X5" s="185"/>
    </row>
    <row r="6" spans="1:34">
      <c r="A6" s="9" t="s">
        <v>60</v>
      </c>
      <c r="B6" s="34">
        <v>0</v>
      </c>
      <c r="C6" s="335">
        <v>0</v>
      </c>
      <c r="D6" s="335"/>
      <c r="E6" s="400" t="s">
        <v>0</v>
      </c>
      <c r="F6" s="335"/>
      <c r="G6" s="335"/>
      <c r="H6" s="3"/>
      <c r="I6" s="3"/>
      <c r="J6" s="3"/>
      <c r="K6" s="3"/>
      <c r="L6" s="3"/>
      <c r="M6" s="3"/>
      <c r="N6" s="394"/>
      <c r="O6" s="3"/>
      <c r="P6" s="3"/>
      <c r="Q6" s="3"/>
      <c r="R6" s="3"/>
      <c r="S6" s="3"/>
      <c r="T6" s="3"/>
      <c r="U6" s="3"/>
      <c r="V6" s="3"/>
      <c r="W6" s="3"/>
      <c r="X6" s="185"/>
    </row>
    <row r="7" spans="1:34">
      <c r="A7" s="9" t="s">
        <v>49</v>
      </c>
      <c r="B7" s="34">
        <v>0</v>
      </c>
      <c r="C7" s="335">
        <f>EIA_RE_aeo2014!E73*1000-C15</f>
        <v>1478.99</v>
      </c>
      <c r="D7" s="335">
        <f>EIA_RE_aeo2014!F73*1000-D15</f>
        <v>1499.99</v>
      </c>
      <c r="E7" s="335">
        <f>EIA_RE_aeo2014!G73*1000-E15</f>
        <v>1055.61402</v>
      </c>
      <c r="F7" s="335">
        <f>EIA_RE_aeo2014!H73*1000-F15</f>
        <v>1008.0390200000001</v>
      </c>
      <c r="G7" s="335">
        <f>EIA_RE_aeo2014!I73*1000-G15</f>
        <v>1512.7258400000001</v>
      </c>
      <c r="H7" s="175">
        <f>EIA_RE_aeo2014!J73*1000-H15</f>
        <v>1545.7531199999999</v>
      </c>
      <c r="I7" s="175">
        <f>EIA_RE_aeo2014!K73*1000-I15</f>
        <v>1578.3934199999999</v>
      </c>
      <c r="J7" s="175">
        <f>EIA_RE_aeo2014!L73*1000-J15</f>
        <v>1611.13888</v>
      </c>
      <c r="K7" s="175">
        <f>EIA_RE_aeo2014!M73*1000-K15</f>
        <v>1639.9923200000001</v>
      </c>
      <c r="L7" s="175">
        <f>EIA_RE_aeo2014!N73*1000-L15</f>
        <v>1639.98946</v>
      </c>
      <c r="M7" s="175">
        <f>EIA_RE_aeo2014!O73*1000-M15</f>
        <v>1639.98946</v>
      </c>
      <c r="N7" s="185">
        <f>EIA_RE_aeo2014!P73*1000-N15</f>
        <v>1639.98946</v>
      </c>
      <c r="O7" s="175">
        <f>EIA_RE_aeo2014!Q73*1000-O15</f>
        <v>1639.98946</v>
      </c>
      <c r="P7" s="175">
        <f>EIA_RE_aeo2014!R73*1000-P15</f>
        <v>1639.98946</v>
      </c>
      <c r="Q7" s="175">
        <f>EIA_RE_aeo2014!S73*1000-Q15</f>
        <v>1639.98946</v>
      </c>
      <c r="R7" s="175">
        <f>EIA_RE_aeo2014!T73*1000-R15</f>
        <v>1639.98946</v>
      </c>
      <c r="S7" s="83">
        <f>EIA_RE_aeo2014!U73*1000-S15</f>
        <v>1639.98946</v>
      </c>
      <c r="T7" s="83">
        <f>EIA_RE_aeo2014!V73*1000-T15</f>
        <v>1639.98946</v>
      </c>
      <c r="U7" s="83">
        <f>EIA_RE_aeo2014!W73*1000-U15</f>
        <v>1639.98946</v>
      </c>
      <c r="V7" s="83">
        <f>EIA_RE_aeo2014!X73*1000-V15</f>
        <v>1639.98946</v>
      </c>
      <c r="W7" s="83">
        <f>EIA_RE_aeo2014!Y73*1000-W15</f>
        <v>1639.98946</v>
      </c>
      <c r="X7" s="185">
        <f>EIA_RE_aeo2014!Z73*1000-X15</f>
        <v>1639.98946</v>
      </c>
      <c r="Y7" s="175">
        <f>EIA_RE_aeo2014!AA73*1000-Y15</f>
        <v>1639.98946</v>
      </c>
      <c r="Z7" s="175">
        <f>EIA_RE_aeo2014!AB73*1000-Z15</f>
        <v>1654.2591</v>
      </c>
      <c r="AA7" s="175">
        <f>EIA_RE_aeo2014!AC73*1000-AA15</f>
        <v>1654.2591</v>
      </c>
      <c r="AB7" s="175">
        <f>EIA_RE_aeo2014!AD73*1000-AB15</f>
        <v>1654.2591</v>
      </c>
      <c r="AC7" s="175">
        <f>EIA_RE_aeo2014!AE73*1000-AC15</f>
        <v>1654.2591</v>
      </c>
      <c r="AD7" s="175">
        <f>EIA_RE_aeo2014!AF73*1000-AD15</f>
        <v>1654.2591</v>
      </c>
      <c r="AE7" s="175">
        <f>EIA_RE_aeo2014!AG73*1000-AE15</f>
        <v>1654.2591</v>
      </c>
      <c r="AF7" s="175">
        <f>EIA_RE_aeo2014!AH73*1000-AF15</f>
        <v>1654.2591</v>
      </c>
      <c r="AG7" s="175">
        <f>EIA_RE_aeo2014!AI73*1000-AG15</f>
        <v>1654.2591</v>
      </c>
      <c r="AH7" s="175">
        <f>EIA_RE_aeo2014!AJ73*1000-AH15</f>
        <v>1654.2591</v>
      </c>
    </row>
    <row r="8" spans="1:34">
      <c r="A8" s="9" t="s">
        <v>59</v>
      </c>
      <c r="B8" s="34">
        <v>0</v>
      </c>
      <c r="C8" s="335">
        <f>EIA_electricity_aeo2014!E52*1000</f>
        <v>28212</v>
      </c>
      <c r="D8" s="335">
        <f>EIA_electricity_aeo2014!F52*1000</f>
        <v>26572</v>
      </c>
      <c r="E8" s="335">
        <f>EIA_electricity_aeo2014!G52*1000</f>
        <v>27329.016210899998</v>
      </c>
      <c r="F8" s="335">
        <f>EIA_electricity_aeo2014!H52*1000</f>
        <v>27392.643340599996</v>
      </c>
      <c r="G8" s="335">
        <f>EIA_electricity_aeo2014!I52*1000</f>
        <v>27006.670161399998</v>
      </c>
      <c r="H8" s="3">
        <f>EIA_electricity_aeo2014!J52*1000</f>
        <v>27053.236783</v>
      </c>
      <c r="I8" s="3">
        <f>EIA_electricity_aeo2014!K52*1000</f>
        <v>27779.745035899996</v>
      </c>
      <c r="J8" s="3">
        <f>EIA_electricity_aeo2014!L52*1000</f>
        <v>28005.379345900001</v>
      </c>
      <c r="K8" s="3">
        <f>EIA_electricity_aeo2014!M52*1000</f>
        <v>29306.938562699997</v>
      </c>
      <c r="L8" s="3">
        <f>EIA_electricity_aeo2014!N52*1000</f>
        <v>30601.335274099998</v>
      </c>
      <c r="M8" s="3">
        <f>EIA_electricity_aeo2014!O52*1000</f>
        <v>31726.296077499999</v>
      </c>
      <c r="N8" s="394">
        <f>EIA_electricity_aeo2014!P52*1000</f>
        <v>31985.160627100002</v>
      </c>
      <c r="O8" s="3">
        <f>EIA_electricity_aeo2014!Q52*1000</f>
        <v>31985.164302299996</v>
      </c>
      <c r="P8" s="3">
        <f>EIA_electricity_aeo2014!R52*1000</f>
        <v>31985.160627100002</v>
      </c>
      <c r="Q8" s="3">
        <f>EIA_electricity_aeo2014!S52*1000</f>
        <v>31985.164302299996</v>
      </c>
      <c r="R8" s="3">
        <f>EIA_electricity_aeo2014!T52*1000</f>
        <v>31985.164302299996</v>
      </c>
      <c r="S8" s="3">
        <f>EIA_electricity_aeo2014!U52*1000</f>
        <v>31985.160627100002</v>
      </c>
      <c r="T8" s="3">
        <f>EIA_electricity_aeo2014!V52*1000</f>
        <v>31985.272950399998</v>
      </c>
      <c r="U8" s="3">
        <f>EIA_electricity_aeo2014!W52*1000</f>
        <v>31985.160627100002</v>
      </c>
      <c r="V8" s="3">
        <f>EIA_electricity_aeo2014!X52*1000</f>
        <v>31985.160627100002</v>
      </c>
      <c r="W8" s="3">
        <f>EIA_electricity_aeo2014!Y52*1000</f>
        <v>31985.160627100002</v>
      </c>
      <c r="X8" s="185">
        <f>EIA_electricity_aeo2014!Z52*1000</f>
        <v>31985.164302299996</v>
      </c>
      <c r="Y8" s="175">
        <f>EIA_electricity_aeo2014!AA52*1000</f>
        <v>31985.160627100002</v>
      </c>
      <c r="Z8" s="175">
        <f>EIA_electricity_aeo2014!AB52*1000</f>
        <v>31985.164302299996</v>
      </c>
      <c r="AA8" s="175">
        <f>EIA_electricity_aeo2014!AC52*1000</f>
        <v>31985.164302299996</v>
      </c>
      <c r="AB8" s="175">
        <f>EIA_electricity_aeo2014!AD52*1000</f>
        <v>31985.164302299996</v>
      </c>
      <c r="AC8" s="175">
        <f>EIA_electricity_aeo2014!AE52*1000</f>
        <v>31985.164302299996</v>
      </c>
      <c r="AD8" s="175">
        <f>EIA_electricity_aeo2014!AF52*1000</f>
        <v>32149.178141799992</v>
      </c>
      <c r="AE8" s="175">
        <f>EIA_electricity_aeo2014!AG52*1000</f>
        <v>32189.5830609</v>
      </c>
      <c r="AF8" s="175">
        <f>EIA_electricity_aeo2014!AH52*1000</f>
        <v>32189.579615399998</v>
      </c>
      <c r="AG8" s="175">
        <f>EIA_electricity_aeo2014!AI52*1000</f>
        <v>32368.664760999996</v>
      </c>
      <c r="AH8" s="175">
        <f>EIA_electricity_aeo2014!AJ52*1000</f>
        <v>32406.479582899996</v>
      </c>
    </row>
    <row r="9" spans="1:34">
      <c r="A9" s="9"/>
      <c r="B9" s="34"/>
      <c r="C9" s="335"/>
      <c r="D9" s="335"/>
      <c r="E9" s="335"/>
      <c r="F9" s="335"/>
      <c r="G9" s="335"/>
      <c r="H9" s="118"/>
      <c r="I9" s="118"/>
      <c r="J9" s="118"/>
      <c r="K9" s="118"/>
      <c r="L9" s="118"/>
      <c r="M9" s="118"/>
      <c r="N9" s="394"/>
      <c r="O9" s="118"/>
      <c r="P9" s="118"/>
      <c r="Q9" s="118"/>
      <c r="R9" s="118"/>
      <c r="S9" s="118"/>
      <c r="T9" s="118"/>
      <c r="U9" s="118"/>
      <c r="V9" s="118"/>
      <c r="W9" s="118"/>
      <c r="X9" s="185"/>
    </row>
    <row r="10" spans="1:34" s="20" customFormat="1">
      <c r="A10" s="9" t="s">
        <v>125</v>
      </c>
      <c r="B10" s="35">
        <v>1</v>
      </c>
      <c r="C10" s="335">
        <f>EIA_RE_aeo2014!E76*1000</f>
        <v>1708</v>
      </c>
      <c r="D10" s="335">
        <f>EIA_RE_aeo2014!F76*1000</f>
        <v>1404</v>
      </c>
      <c r="E10" s="335">
        <f>EIA_RE_aeo2014!G76*1000</f>
        <v>1709.6548859743359</v>
      </c>
      <c r="F10" s="335">
        <f>EIA_RE_aeo2014!H76*1000</f>
        <v>1801.9503828968495</v>
      </c>
      <c r="G10" s="335">
        <f>EIA_RE_aeo2014!I76*1000</f>
        <v>2034.1238009079254</v>
      </c>
      <c r="H10" s="83">
        <f>EIA_RE_aeo2014!J76*1000</f>
        <v>2062.6170129624566</v>
      </c>
      <c r="I10" s="175">
        <f>EIA_RE_aeo2014!K76*1000</f>
        <v>2106.6551763777388</v>
      </c>
      <c r="J10" s="175">
        <f>EIA_RE_aeo2014!L76*1000</f>
        <v>3341.1830954495304</v>
      </c>
      <c r="K10" s="175">
        <f>EIA_RE_aeo2014!M76*1000</f>
        <v>2988.5291507482943</v>
      </c>
      <c r="L10" s="175">
        <f>EIA_RE_aeo2014!N76*1000</f>
        <v>3084.4396226069316</v>
      </c>
      <c r="M10" s="175">
        <f>EIA_RE_aeo2014!O76*1000</f>
        <v>3451.7041047126349</v>
      </c>
      <c r="N10" s="185">
        <f>EIA_RE_aeo2014!P76*1000</f>
        <v>4413.9998420261736</v>
      </c>
      <c r="O10" s="175">
        <f>EIA_RE_aeo2014!Q76*1000</f>
        <v>5896.1076622277669</v>
      </c>
      <c r="P10" s="175">
        <f>EIA_RE_aeo2014!R76*1000</f>
        <v>6011.0274227233085</v>
      </c>
      <c r="Q10" s="175">
        <f>EIA_RE_aeo2014!S76*1000</f>
        <v>6241.3747702362161</v>
      </c>
      <c r="R10" s="175">
        <f>EIA_RE_aeo2014!T76*1000</f>
        <v>6280.1320640696231</v>
      </c>
      <c r="S10" s="83">
        <f>EIA_RE_aeo2014!U76*1000</f>
        <v>6338.5742136874915</v>
      </c>
      <c r="T10" s="83">
        <f>EIA_RE_aeo2014!V76*1000</f>
        <v>6345.110506736859</v>
      </c>
      <c r="U10" s="83">
        <f>EIA_RE_aeo2014!W76*1000</f>
        <v>6291.4460048236688</v>
      </c>
      <c r="V10" s="83">
        <f>EIA_RE_aeo2014!X76*1000</f>
        <v>6320.7134549820703</v>
      </c>
      <c r="W10" s="83">
        <f>EIA_RE_aeo2014!Y76*1000</f>
        <v>6343.5936052351381</v>
      </c>
      <c r="X10" s="185">
        <f>EIA_RE_aeo2014!Z76*1000</f>
        <v>6289.8682562322228</v>
      </c>
      <c r="Y10" s="175">
        <f>EIA_RE_aeo2014!AA76*1000</f>
        <v>6325.9160456052723</v>
      </c>
      <c r="Z10" s="175">
        <f>EIA_RE_aeo2014!AB76*1000</f>
        <v>6307.2241485445084</v>
      </c>
      <c r="AA10" s="175">
        <f>EIA_RE_aeo2014!AC76*1000</f>
        <v>6319.1107097483582</v>
      </c>
      <c r="AB10" s="175">
        <f>EIA_RE_aeo2014!AD76*1000</f>
        <v>6363.1232187149999</v>
      </c>
      <c r="AC10" s="175">
        <f>EIA_RE_aeo2014!AE76*1000</f>
        <v>6392.0186793681005</v>
      </c>
      <c r="AD10" s="175">
        <f>EIA_RE_aeo2014!AF76*1000</f>
        <v>6428.4516143739575</v>
      </c>
      <c r="AE10" s="175">
        <f>EIA_RE_aeo2014!AG76*1000</f>
        <v>6459.2708297719764</v>
      </c>
      <c r="AF10" s="175">
        <f>EIA_RE_aeo2014!AH76*1000</f>
        <v>6449.4435314263801</v>
      </c>
      <c r="AG10" s="175">
        <f>EIA_RE_aeo2014!AI76*1000</f>
        <v>6483.4129815562883</v>
      </c>
      <c r="AH10" s="175">
        <f>EIA_RE_aeo2014!AJ76*1000</f>
        <v>6512.9040858823328</v>
      </c>
    </row>
    <row r="11" spans="1:34" s="20" customFormat="1">
      <c r="A11" s="9" t="s">
        <v>50</v>
      </c>
      <c r="B11" s="35">
        <v>1</v>
      </c>
      <c r="C11" s="335">
        <f>EIA_RE_aeo2014!E74*1000</f>
        <v>0</v>
      </c>
      <c r="D11" s="335">
        <f>EIA_RE_aeo2014!F74*1000</f>
        <v>0</v>
      </c>
      <c r="E11" s="335">
        <f>EIA_RE_aeo2014!G74*1000</f>
        <v>0</v>
      </c>
      <c r="F11" s="335">
        <f>EIA_RE_aeo2014!H74*1000</f>
        <v>0</v>
      </c>
      <c r="G11" s="335">
        <f>EIA_RE_aeo2014!I74*1000</f>
        <v>0</v>
      </c>
      <c r="H11" s="83">
        <f>EIA_RE_aeo2014!J74*1000</f>
        <v>0</v>
      </c>
      <c r="I11" s="83">
        <f>EIA_RE_aeo2014!K74*1000</f>
        <v>0</v>
      </c>
      <c r="J11" s="83">
        <f>EIA_RE_aeo2014!L74*1000</f>
        <v>0</v>
      </c>
      <c r="K11" s="83">
        <f>EIA_RE_aeo2014!M74*1000</f>
        <v>0</v>
      </c>
      <c r="L11" s="83">
        <f>EIA_RE_aeo2014!N74*1000</f>
        <v>0</v>
      </c>
      <c r="M11" s="83">
        <f>EIA_RE_aeo2014!O74*1000</f>
        <v>0</v>
      </c>
      <c r="N11" s="394">
        <f>EIA_RE_aeo2014!P74*1000</f>
        <v>0</v>
      </c>
      <c r="O11" s="83">
        <f>EIA_RE_aeo2014!Q74*1000</f>
        <v>0</v>
      </c>
      <c r="P11" s="83">
        <f>EIA_RE_aeo2014!R74*1000</f>
        <v>0</v>
      </c>
      <c r="Q11" s="83">
        <f>EIA_RE_aeo2014!S74*1000</f>
        <v>0</v>
      </c>
      <c r="R11" s="83">
        <f>EIA_RE_aeo2014!T74*1000</f>
        <v>0</v>
      </c>
      <c r="S11" s="83">
        <f>EIA_RE_aeo2014!U74*1000</f>
        <v>0</v>
      </c>
      <c r="T11" s="83">
        <f>EIA_RE_aeo2014!V74*1000</f>
        <v>0</v>
      </c>
      <c r="U11" s="83">
        <f>EIA_RE_aeo2014!W74*1000</f>
        <v>0</v>
      </c>
      <c r="V11" s="83">
        <f>EIA_RE_aeo2014!X74*1000</f>
        <v>0</v>
      </c>
      <c r="W11" s="83">
        <f>EIA_RE_aeo2014!Y74*1000</f>
        <v>0</v>
      </c>
      <c r="X11" s="185">
        <f>EIA_RE_aeo2014!Z74*1000</f>
        <v>0</v>
      </c>
      <c r="Y11" s="175">
        <f>EIA_RE_aeo2014!AA74*1000</f>
        <v>0</v>
      </c>
      <c r="Z11" s="175">
        <f>EIA_RE_aeo2014!AB74*1000</f>
        <v>0</v>
      </c>
      <c r="AA11" s="175">
        <f>EIA_RE_aeo2014!AC74*1000</f>
        <v>0</v>
      </c>
      <c r="AB11" s="175">
        <f>EIA_RE_aeo2014!AD74*1000</f>
        <v>0</v>
      </c>
      <c r="AC11" s="175">
        <f>EIA_RE_aeo2014!AE74*1000</f>
        <v>0</v>
      </c>
      <c r="AD11" s="175">
        <f>EIA_RE_aeo2014!AF74*1000</f>
        <v>0</v>
      </c>
      <c r="AE11" s="175">
        <f>EIA_RE_aeo2014!AG74*1000</f>
        <v>0</v>
      </c>
      <c r="AF11" s="175">
        <f>EIA_RE_aeo2014!AH74*1000</f>
        <v>0</v>
      </c>
      <c r="AG11" s="175">
        <f>EIA_RE_aeo2014!AI74*1000</f>
        <v>0</v>
      </c>
      <c r="AH11" s="175">
        <f>EIA_RE_aeo2014!AJ74*1000</f>
        <v>0</v>
      </c>
    </row>
    <row r="12" spans="1:34" s="20" customFormat="1">
      <c r="A12" s="9" t="s">
        <v>51</v>
      </c>
      <c r="B12" s="35">
        <v>1</v>
      </c>
      <c r="C12" s="335">
        <f>EIA_RE_aeo2014!E75*1000</f>
        <v>695</v>
      </c>
      <c r="D12" s="335">
        <f>EIA_RE_aeo2014!F75*1000</f>
        <v>802</v>
      </c>
      <c r="E12" s="335">
        <f>EIA_RE_aeo2014!G75*1000</f>
        <v>985.36145242873135</v>
      </c>
      <c r="F12" s="335">
        <f>EIA_RE_aeo2014!H75*1000</f>
        <v>1164.434402040428</v>
      </c>
      <c r="G12" s="335">
        <f>EIA_RE_aeo2014!I75*1000</f>
        <v>852.41637015605193</v>
      </c>
      <c r="H12" s="83">
        <f>EIA_RE_aeo2014!J75*1000</f>
        <v>905.28916595302769</v>
      </c>
      <c r="I12" s="175">
        <f>EIA_RE_aeo2014!K75*1000</f>
        <v>905.7739002529695</v>
      </c>
      <c r="J12" s="175">
        <f>EIA_RE_aeo2014!L75*1000</f>
        <v>914.39267520691203</v>
      </c>
      <c r="K12" s="175">
        <f>EIA_RE_aeo2014!M75*1000</f>
        <v>917.70004873210769</v>
      </c>
      <c r="L12" s="175">
        <f>EIA_RE_aeo2014!N75*1000</f>
        <v>918.07374594912449</v>
      </c>
      <c r="M12" s="175">
        <f>EIA_RE_aeo2014!O75*1000</f>
        <v>917.46648797147225</v>
      </c>
      <c r="N12" s="185">
        <f>EIA_RE_aeo2014!P75*1000</f>
        <v>915.53214540961892</v>
      </c>
      <c r="O12" s="175">
        <f>EIA_RE_aeo2014!Q75*1000</f>
        <v>914.37735974719828</v>
      </c>
      <c r="P12" s="175">
        <f>EIA_RE_aeo2014!R75*1000</f>
        <v>913.39717032551471</v>
      </c>
      <c r="Q12" s="175">
        <f>EIA_RE_aeo2014!S75*1000</f>
        <v>912.47824274268658</v>
      </c>
      <c r="R12" s="175">
        <f>EIA_RE_aeo2014!T75*1000</f>
        <v>911.56467557075837</v>
      </c>
      <c r="S12" s="83">
        <f>EIA_RE_aeo2014!U75*1000</f>
        <v>910.48876452586353</v>
      </c>
      <c r="T12" s="83">
        <f>EIA_RE_aeo2014!V75*1000</f>
        <v>909.28879825728723</v>
      </c>
      <c r="U12" s="83">
        <f>EIA_RE_aeo2014!W75*1000</f>
        <v>908.07198498302557</v>
      </c>
      <c r="V12" s="83">
        <f>EIA_RE_aeo2014!X75*1000</f>
        <v>906.20809353585571</v>
      </c>
      <c r="W12" s="83">
        <f>EIA_RE_aeo2014!Y75*1000</f>
        <v>904.75159331707323</v>
      </c>
      <c r="X12" s="185">
        <f>EIA_RE_aeo2014!Z75*1000</f>
        <v>902.7490969594935</v>
      </c>
      <c r="Y12" s="175">
        <f>EIA_RE_aeo2014!AA75*1000</f>
        <v>900.78335770522688</v>
      </c>
      <c r="Z12" s="175">
        <f>EIA_RE_aeo2014!AB75*1000</f>
        <v>898.8007714452749</v>
      </c>
      <c r="AA12" s="175">
        <f>EIA_RE_aeo2014!AC75*1000</f>
        <v>896.89323093792098</v>
      </c>
      <c r="AB12" s="175">
        <f>EIA_RE_aeo2014!AD75*1000</f>
        <v>895.22384582911639</v>
      </c>
      <c r="AC12" s="175">
        <f>EIA_RE_aeo2014!AE75*1000</f>
        <v>893.42963972364441</v>
      </c>
      <c r="AD12" s="175">
        <f>EIA_RE_aeo2014!AF75*1000</f>
        <v>891.83606614042321</v>
      </c>
      <c r="AE12" s="175">
        <f>EIA_RE_aeo2014!AG75*1000</f>
        <v>890.40177333822555</v>
      </c>
      <c r="AF12" s="175">
        <f>EIA_RE_aeo2014!AH75*1000</f>
        <v>889.10838276539494</v>
      </c>
      <c r="AG12" s="175">
        <f>EIA_RE_aeo2014!AI75*1000</f>
        <v>887.74990148878067</v>
      </c>
      <c r="AH12" s="175">
        <f>EIA_RE_aeo2014!AJ75*1000</f>
        <v>886.40673567188014</v>
      </c>
    </row>
    <row r="13" spans="1:34">
      <c r="A13" s="9" t="s">
        <v>347</v>
      </c>
      <c r="B13" s="34">
        <v>1</v>
      </c>
      <c r="C13" s="335">
        <f>(EIA_RE_aeo2014!E34+EIA_RE_aeo2014!E54)*1000</f>
        <v>0</v>
      </c>
      <c r="D13" s="335">
        <f>(EIA_RE_aeo2014!F34+EIA_RE_aeo2014!F54)*1000</f>
        <v>0</v>
      </c>
      <c r="E13" s="335">
        <f>(EIA_RE_aeo2014!G34+EIA_RE_aeo2014!G54)*1000</f>
        <v>0.2</v>
      </c>
      <c r="F13" s="335">
        <f>(EIA_RE_aeo2014!H34+EIA_RE_aeo2014!H54)*1000</f>
        <v>0.2</v>
      </c>
      <c r="G13" s="335">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94">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5">
        <f>(EIA_RE_aeo2014!Z34+EIA_RE_aeo2014!Z54)*1000</f>
        <v>0.2</v>
      </c>
      <c r="Y13" s="175">
        <f>(EIA_RE_aeo2014!AA34+EIA_RE_aeo2014!AA54)*1000</f>
        <v>0.2</v>
      </c>
      <c r="Z13" s="175">
        <f>(EIA_RE_aeo2014!AB34+EIA_RE_aeo2014!AB54)*1000</f>
        <v>0.2</v>
      </c>
      <c r="AA13" s="175">
        <f>(EIA_RE_aeo2014!AC34+EIA_RE_aeo2014!AC54)*1000</f>
        <v>0.2</v>
      </c>
      <c r="AB13" s="175">
        <f>(EIA_RE_aeo2014!AD34+EIA_RE_aeo2014!AD54)*1000</f>
        <v>0.2</v>
      </c>
      <c r="AC13" s="175">
        <f>(EIA_RE_aeo2014!AE34+EIA_RE_aeo2014!AE54)*1000</f>
        <v>0.2</v>
      </c>
      <c r="AD13" s="175">
        <f>(EIA_RE_aeo2014!AF34+EIA_RE_aeo2014!AF54)*1000</f>
        <v>0.2</v>
      </c>
      <c r="AE13" s="175">
        <f>(EIA_RE_aeo2014!AG34+EIA_RE_aeo2014!AG54)*1000</f>
        <v>0.2</v>
      </c>
      <c r="AF13" s="175">
        <f>(EIA_RE_aeo2014!AH34+EIA_RE_aeo2014!AH54)*1000</f>
        <v>0.2</v>
      </c>
      <c r="AG13" s="175">
        <f>(EIA_RE_aeo2014!AI34+EIA_RE_aeo2014!AI54)*1000</f>
        <v>0.2</v>
      </c>
      <c r="AH13" s="175">
        <f>EIA_RE_aeo2014!AJ77*1000</f>
        <v>0</v>
      </c>
    </row>
    <row r="14" spans="1:34">
      <c r="A14" s="9" t="s">
        <v>348</v>
      </c>
      <c r="B14" s="34">
        <v>1</v>
      </c>
      <c r="C14" s="335">
        <f>EIA_RE_aeo2014!E33*1000</f>
        <v>0</v>
      </c>
      <c r="D14" s="335">
        <f>EIA_RE_aeo2014!F33*1000</f>
        <v>0</v>
      </c>
      <c r="E14" s="335">
        <f>EIA_RE_aeo2014!G33*1000</f>
        <v>0.1</v>
      </c>
      <c r="F14" s="335">
        <f>EIA_RE_aeo2014!H33*1000</f>
        <v>0.1</v>
      </c>
      <c r="G14" s="335">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94">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5">
        <f>EIA_RE_aeo2014!Z33*1000</f>
        <v>0.1</v>
      </c>
      <c r="Y14" s="175">
        <f>EIA_RE_aeo2014!AA33*1000</f>
        <v>0.1</v>
      </c>
      <c r="Z14" s="175">
        <f>EIA_RE_aeo2014!AB33*1000</f>
        <v>0.1</v>
      </c>
      <c r="AA14" s="175">
        <f>EIA_RE_aeo2014!AC33*1000</f>
        <v>0.1</v>
      </c>
      <c r="AB14" s="175">
        <f>EIA_RE_aeo2014!AD33*1000</f>
        <v>0.1</v>
      </c>
      <c r="AC14" s="175">
        <f>EIA_RE_aeo2014!AE33*1000</f>
        <v>0.1</v>
      </c>
      <c r="AD14" s="175">
        <f>EIA_RE_aeo2014!AF33*1000</f>
        <v>0.1</v>
      </c>
      <c r="AE14" s="175">
        <f>EIA_RE_aeo2014!AG33*1000</f>
        <v>0.1</v>
      </c>
      <c r="AF14" s="175">
        <f>EIA_RE_aeo2014!AH33*1000</f>
        <v>0.1</v>
      </c>
      <c r="AG14" s="175">
        <f>EIA_RE_aeo2014!AI33*1000</f>
        <v>0.1</v>
      </c>
      <c r="AH14" s="175">
        <f>EIA_RE_aeo2014!AJ33*1000</f>
        <v>0.1</v>
      </c>
    </row>
    <row r="15" spans="1:34" s="523" customFormat="1">
      <c r="A15" s="520" t="s">
        <v>717</v>
      </c>
      <c r="B15" s="521">
        <v>1</v>
      </c>
      <c r="C15" s="522">
        <v>0.01</v>
      </c>
      <c r="D15" s="522">
        <v>0.01</v>
      </c>
      <c r="E15" s="522">
        <v>0.01</v>
      </c>
      <c r="F15" s="522">
        <v>0.01</v>
      </c>
      <c r="G15" s="522">
        <v>0.01</v>
      </c>
      <c r="H15" s="522">
        <v>0.01</v>
      </c>
      <c r="I15" s="522">
        <v>0.01</v>
      </c>
      <c r="J15" s="522">
        <v>0.01</v>
      </c>
      <c r="K15" s="522">
        <v>0.01</v>
      </c>
      <c r="L15" s="522">
        <v>0.01</v>
      </c>
      <c r="M15" s="522">
        <v>0.01</v>
      </c>
      <c r="N15" s="522">
        <v>0.01</v>
      </c>
      <c r="O15" s="522">
        <v>0.01</v>
      </c>
      <c r="P15" s="522">
        <v>0.01</v>
      </c>
      <c r="Q15" s="522">
        <v>0.01</v>
      </c>
      <c r="R15" s="522">
        <v>0.01</v>
      </c>
      <c r="S15" s="522">
        <v>0.01</v>
      </c>
      <c r="T15" s="522">
        <v>0.01</v>
      </c>
      <c r="U15" s="522">
        <v>0.01</v>
      </c>
      <c r="V15" s="522">
        <v>0.01</v>
      </c>
      <c r="W15" s="522">
        <v>0.01</v>
      </c>
      <c r="X15" s="522">
        <v>0.01</v>
      </c>
      <c r="Y15" s="522">
        <v>0.01</v>
      </c>
      <c r="Z15" s="522">
        <v>0.01</v>
      </c>
      <c r="AA15" s="522">
        <v>0.01</v>
      </c>
      <c r="AB15" s="522">
        <v>0.01</v>
      </c>
      <c r="AC15" s="522">
        <v>0.01</v>
      </c>
      <c r="AD15" s="522">
        <v>0.01</v>
      </c>
      <c r="AE15" s="522">
        <v>0.01</v>
      </c>
      <c r="AF15" s="522">
        <v>0.01</v>
      </c>
      <c r="AG15" s="522">
        <v>0.01</v>
      </c>
      <c r="AH15" s="522">
        <v>0.01</v>
      </c>
    </row>
    <row r="16" spans="1:34">
      <c r="A16" s="9" t="s">
        <v>53</v>
      </c>
      <c r="B16" s="34">
        <v>1</v>
      </c>
      <c r="C16" s="335">
        <f>EIA_RE_aeo2014!E78*1000</f>
        <v>0</v>
      </c>
      <c r="D16" s="335">
        <f>EIA_RE_aeo2014!F78*1000</f>
        <v>0</v>
      </c>
      <c r="E16" s="335">
        <f>EIA_RE_aeo2014!G78*1000</f>
        <v>0</v>
      </c>
      <c r="F16" s="335">
        <f>EIA_RE_aeo2014!H78*1000</f>
        <v>0</v>
      </c>
      <c r="G16" s="335">
        <f>EIA_RE_aeo2014!I78*1000</f>
        <v>0</v>
      </c>
      <c r="H16" s="3">
        <f>EIA_RE_aeo2014!J78*1000</f>
        <v>0</v>
      </c>
      <c r="I16" s="3">
        <f>EIA_RE_aeo2014!K78*1000</f>
        <v>0</v>
      </c>
      <c r="J16" s="3">
        <f>EIA_RE_aeo2014!L78*1000</f>
        <v>0</v>
      </c>
      <c r="K16" s="3">
        <f>EIA_RE_aeo2014!M78*1000</f>
        <v>0</v>
      </c>
      <c r="L16" s="3">
        <f>EIA_RE_aeo2014!N78*1000</f>
        <v>0</v>
      </c>
      <c r="M16" s="3">
        <f>EIA_RE_aeo2014!O78*1000</f>
        <v>0</v>
      </c>
      <c r="N16" s="394">
        <f>EIA_RE_aeo2014!P78*1000</f>
        <v>0</v>
      </c>
      <c r="O16" s="3">
        <f>EIA_RE_aeo2014!Q78*1000</f>
        <v>0</v>
      </c>
      <c r="P16" s="3">
        <f>EIA_RE_aeo2014!R78*1000</f>
        <v>0</v>
      </c>
      <c r="Q16" s="3">
        <f>EIA_RE_aeo2014!S78*1000</f>
        <v>0</v>
      </c>
      <c r="R16" s="3">
        <f>EIA_RE_aeo2014!T78*1000</f>
        <v>0</v>
      </c>
      <c r="S16" s="3">
        <f>EIA_RE_aeo2014!U78*1000</f>
        <v>0</v>
      </c>
      <c r="T16" s="3">
        <f>EIA_RE_aeo2014!V78*1000</f>
        <v>0</v>
      </c>
      <c r="U16" s="3">
        <f>EIA_RE_aeo2014!W78*1000</f>
        <v>0</v>
      </c>
      <c r="V16" s="3">
        <f>EIA_RE_aeo2014!X78*1000</f>
        <v>0</v>
      </c>
      <c r="W16" s="3">
        <f>EIA_RE_aeo2014!Y78*1000</f>
        <v>0</v>
      </c>
      <c r="X16" s="185">
        <f>EIA_RE_aeo2014!Z78*1000</f>
        <v>0</v>
      </c>
      <c r="Y16" s="175">
        <f>EIA_RE_aeo2014!AA78*1000</f>
        <v>0</v>
      </c>
      <c r="Z16" s="175">
        <f>EIA_RE_aeo2014!AB78*1000</f>
        <v>0</v>
      </c>
      <c r="AA16" s="175">
        <f>EIA_RE_aeo2014!AC78*1000</f>
        <v>0</v>
      </c>
      <c r="AB16" s="175">
        <f>EIA_RE_aeo2014!AD78*1000</f>
        <v>0</v>
      </c>
      <c r="AC16" s="175">
        <f>EIA_RE_aeo2014!AE78*1000</f>
        <v>0</v>
      </c>
      <c r="AD16" s="175">
        <f>EIA_RE_aeo2014!AF78*1000</f>
        <v>0</v>
      </c>
      <c r="AE16" s="175">
        <f>EIA_RE_aeo2014!AG78*1000</f>
        <v>0</v>
      </c>
      <c r="AF16" s="175">
        <f>EIA_RE_aeo2014!AH78*1000</f>
        <v>0</v>
      </c>
      <c r="AG16" s="175">
        <f>EIA_RE_aeo2014!AI78*1000</f>
        <v>0</v>
      </c>
      <c r="AH16" s="175">
        <f>EIA_RE_aeo2014!AJ78*1000</f>
        <v>0</v>
      </c>
    </row>
    <row r="17" spans="1:34">
      <c r="A17" s="11" t="s">
        <v>327</v>
      </c>
      <c r="B17" s="36"/>
      <c r="C17" s="335">
        <f t="shared" ref="C17:AH17" si="0">SUM(C7:C16)</f>
        <v>32094</v>
      </c>
      <c r="D17" s="335">
        <f t="shared" si="0"/>
        <v>30278</v>
      </c>
      <c r="E17" s="335">
        <f t="shared" si="0"/>
        <v>31079.95656930306</v>
      </c>
      <c r="F17" s="335">
        <f t="shared" si="0"/>
        <v>31367.37714553727</v>
      </c>
      <c r="G17" s="335">
        <f t="shared" si="0"/>
        <v>31406.246172463972</v>
      </c>
      <c r="H17" s="3">
        <f t="shared" si="0"/>
        <v>31567.206081915483</v>
      </c>
      <c r="I17" s="3">
        <f t="shared" si="0"/>
        <v>32370.877532530703</v>
      </c>
      <c r="J17" s="3">
        <f t="shared" si="0"/>
        <v>33872.403996556437</v>
      </c>
      <c r="K17" s="3">
        <f t="shared" si="0"/>
        <v>34853.4700821804</v>
      </c>
      <c r="L17" s="3">
        <f t="shared" si="0"/>
        <v>36244.14810265605</v>
      </c>
      <c r="M17" s="3">
        <f t="shared" si="0"/>
        <v>37735.7661301841</v>
      </c>
      <c r="N17" s="394">
        <f t="shared" si="0"/>
        <v>38954.992074535796</v>
      </c>
      <c r="O17" s="3">
        <f t="shared" si="0"/>
        <v>40435.948784274959</v>
      </c>
      <c r="P17" s="3">
        <f t="shared" si="0"/>
        <v>40549.884680148825</v>
      </c>
      <c r="Q17" s="3">
        <f t="shared" si="0"/>
        <v>40779.316775278894</v>
      </c>
      <c r="R17" s="3">
        <f t="shared" si="0"/>
        <v>40817.160501940372</v>
      </c>
      <c r="S17" s="3">
        <f t="shared" si="0"/>
        <v>40874.523065313355</v>
      </c>
      <c r="T17" s="3">
        <f t="shared" si="0"/>
        <v>40879.971715394146</v>
      </c>
      <c r="U17" s="3">
        <f t="shared" si="0"/>
        <v>40824.978076906693</v>
      </c>
      <c r="V17" s="3">
        <f t="shared" si="0"/>
        <v>40852.381635617923</v>
      </c>
      <c r="W17" s="3">
        <f t="shared" si="0"/>
        <v>40873.805285652212</v>
      </c>
      <c r="X17" s="185">
        <f t="shared" si="0"/>
        <v>40818.08111549171</v>
      </c>
      <c r="Y17" s="175">
        <f t="shared" si="0"/>
        <v>40852.1594904105</v>
      </c>
      <c r="Z17" s="175">
        <f t="shared" si="0"/>
        <v>40845.758322289774</v>
      </c>
      <c r="AA17" s="175">
        <f t="shared" si="0"/>
        <v>40855.737342986271</v>
      </c>
      <c r="AB17" s="175">
        <f t="shared" si="0"/>
        <v>40898.080466844112</v>
      </c>
      <c r="AC17" s="175">
        <f t="shared" si="0"/>
        <v>40925.181721391738</v>
      </c>
      <c r="AD17" s="175">
        <f t="shared" si="0"/>
        <v>41124.034922314371</v>
      </c>
      <c r="AE17" s="175">
        <f t="shared" si="0"/>
        <v>41193.824764010198</v>
      </c>
      <c r="AF17" s="175">
        <f t="shared" si="0"/>
        <v>41182.700629591774</v>
      </c>
      <c r="AG17" s="175">
        <f t="shared" si="0"/>
        <v>41394.396744045058</v>
      </c>
      <c r="AH17" s="175">
        <f t="shared" si="0"/>
        <v>41460.159504454212</v>
      </c>
    </row>
    <row r="18" spans="1:34">
      <c r="A18" s="10" t="s">
        <v>126</v>
      </c>
      <c r="B18" s="37"/>
      <c r="C18" s="336">
        <f t="shared" ref="C18:AH18" si="1">SUMPRODUCT($B7:$B16,C7:C16)</f>
        <v>2403.0100000000002</v>
      </c>
      <c r="D18" s="336">
        <f t="shared" si="1"/>
        <v>2206.0100000000002</v>
      </c>
      <c r="E18" s="336">
        <f t="shared" si="1"/>
        <v>2695.3263384030674</v>
      </c>
      <c r="F18" s="336">
        <f t="shared" si="1"/>
        <v>2966.6947849372777</v>
      </c>
      <c r="G18" s="336">
        <f t="shared" si="1"/>
        <v>2886.8501710639771</v>
      </c>
      <c r="H18" s="14">
        <f t="shared" si="1"/>
        <v>2968.2161789154843</v>
      </c>
      <c r="I18" s="14">
        <f t="shared" si="1"/>
        <v>3012.7390766307085</v>
      </c>
      <c r="J18" s="14">
        <f t="shared" si="1"/>
        <v>4255.8857706564431</v>
      </c>
      <c r="K18" s="14">
        <f t="shared" si="1"/>
        <v>3906.5391994804017</v>
      </c>
      <c r="L18" s="14">
        <f t="shared" si="1"/>
        <v>4002.8233685560558</v>
      </c>
      <c r="M18" s="14">
        <f t="shared" si="1"/>
        <v>4369.4805926841073</v>
      </c>
      <c r="N18" s="191">
        <f t="shared" si="1"/>
        <v>5329.8419874357933</v>
      </c>
      <c r="O18" s="14">
        <f t="shared" si="1"/>
        <v>6810.7950219749655</v>
      </c>
      <c r="P18" s="14">
        <f t="shared" si="1"/>
        <v>6924.7345930488236</v>
      </c>
      <c r="Q18" s="14">
        <f t="shared" si="1"/>
        <v>7154.1630129789028</v>
      </c>
      <c r="R18" s="14">
        <f t="shared" si="1"/>
        <v>7192.006739640382</v>
      </c>
      <c r="S18" s="14">
        <f t="shared" si="1"/>
        <v>7249.3729782133551</v>
      </c>
      <c r="T18" s="14">
        <f t="shared" si="1"/>
        <v>7254.7093049941468</v>
      </c>
      <c r="U18" s="14">
        <f t="shared" si="1"/>
        <v>7199.8279898066949</v>
      </c>
      <c r="V18" s="14">
        <f t="shared" si="1"/>
        <v>7227.2315485179261</v>
      </c>
      <c r="W18" s="14">
        <f t="shared" si="1"/>
        <v>7248.6551985522119</v>
      </c>
      <c r="X18" s="188">
        <f t="shared" si="1"/>
        <v>7192.927353191717</v>
      </c>
      <c r="Y18" s="14">
        <f t="shared" si="1"/>
        <v>7227.0094033104997</v>
      </c>
      <c r="Z18" s="14">
        <f t="shared" si="1"/>
        <v>7206.3349199897839</v>
      </c>
      <c r="AA18" s="14">
        <f t="shared" si="1"/>
        <v>7216.3139406862792</v>
      </c>
      <c r="AB18" s="14">
        <f t="shared" si="1"/>
        <v>7258.657064544117</v>
      </c>
      <c r="AC18" s="14">
        <f t="shared" si="1"/>
        <v>7285.7583190917458</v>
      </c>
      <c r="AD18" s="14">
        <f t="shared" si="1"/>
        <v>7320.597680514381</v>
      </c>
      <c r="AE18" s="14">
        <f t="shared" si="1"/>
        <v>7349.982603110202</v>
      </c>
      <c r="AF18" s="14">
        <f t="shared" si="1"/>
        <v>7338.8619141917752</v>
      </c>
      <c r="AG18" s="14">
        <f t="shared" si="1"/>
        <v>7371.4728830450695</v>
      </c>
      <c r="AH18" s="14">
        <f t="shared" si="1"/>
        <v>7399.420821554213</v>
      </c>
    </row>
    <row r="19" spans="1:34">
      <c r="A19" s="10" t="s">
        <v>112</v>
      </c>
      <c r="B19" s="37"/>
      <c r="C19" s="337">
        <f t="shared" ref="C19:AH19" si="2">C18/C4</f>
        <v>3.3648062058922366E-2</v>
      </c>
      <c r="D19" s="337">
        <f t="shared" si="2"/>
        <v>2.9627973192580957E-2</v>
      </c>
      <c r="E19" s="337">
        <f t="shared" si="2"/>
        <v>3.5328450533297362E-2</v>
      </c>
      <c r="F19" s="337">
        <f t="shared" si="2"/>
        <v>3.746261981060741E-2</v>
      </c>
      <c r="G19" s="337">
        <f t="shared" si="2"/>
        <v>3.7824257808064546E-2</v>
      </c>
      <c r="H19" s="23">
        <f t="shared" si="2"/>
        <v>3.8502444242981528E-2</v>
      </c>
      <c r="I19" s="23">
        <f t="shared" si="2"/>
        <v>3.6584191075487271E-2</v>
      </c>
      <c r="J19" s="23">
        <f t="shared" si="2"/>
        <v>5.0107837409290722E-2</v>
      </c>
      <c r="K19" s="23">
        <f t="shared" si="2"/>
        <v>4.4648934725452019E-2</v>
      </c>
      <c r="L19" s="23">
        <f t="shared" si="2"/>
        <v>4.6073943156962817E-2</v>
      </c>
      <c r="M19" s="23">
        <f t="shared" si="2"/>
        <v>4.9888607387544956E-2</v>
      </c>
      <c r="N19" s="184">
        <f t="shared" si="2"/>
        <v>5.9076627374928914E-2</v>
      </c>
      <c r="O19" s="23">
        <f t="shared" si="2"/>
        <v>7.4217656047666017E-2</v>
      </c>
      <c r="P19" s="23">
        <f t="shared" si="2"/>
        <v>7.3446961244156644E-2</v>
      </c>
      <c r="Q19" s="23">
        <f t="shared" si="2"/>
        <v>7.5204259372500706E-2</v>
      </c>
      <c r="R19" s="23">
        <f t="shared" si="2"/>
        <v>7.3893809776997554E-2</v>
      </c>
      <c r="S19" s="23">
        <f t="shared" si="2"/>
        <v>7.353533348617862E-2</v>
      </c>
      <c r="T19" s="23">
        <f t="shared" si="2"/>
        <v>7.3051390200349786E-2</v>
      </c>
      <c r="U19" s="23">
        <f t="shared" si="2"/>
        <v>7.0048210828164398E-2</v>
      </c>
      <c r="V19" s="23">
        <f t="shared" si="2"/>
        <v>6.9562043693897374E-2</v>
      </c>
      <c r="W19" s="23">
        <f t="shared" si="2"/>
        <v>6.8295070822425391E-2</v>
      </c>
      <c r="X19" s="186">
        <f t="shared" si="2"/>
        <v>6.6667356074152001E-2</v>
      </c>
      <c r="Y19" s="173">
        <f t="shared" si="2"/>
        <v>6.703286322972922E-2</v>
      </c>
      <c r="Z19" s="173">
        <f t="shared" si="2"/>
        <v>6.6486858367729287E-2</v>
      </c>
      <c r="AA19" s="173">
        <f t="shared" si="2"/>
        <v>6.5901797922375119E-2</v>
      </c>
      <c r="AB19" s="173">
        <f t="shared" si="2"/>
        <v>6.5156056919645822E-2</v>
      </c>
      <c r="AC19" s="173">
        <f t="shared" si="2"/>
        <v>6.5082253652562413E-2</v>
      </c>
      <c r="AD19" s="173">
        <f t="shared" si="2"/>
        <v>6.4769504331743818E-2</v>
      </c>
      <c r="AE19" s="173">
        <f t="shared" si="2"/>
        <v>6.4269484388646436E-2</v>
      </c>
      <c r="AF19" s="173">
        <f t="shared" si="2"/>
        <v>6.3440299466928252E-2</v>
      </c>
      <c r="AG19" s="173">
        <f t="shared" si="2"/>
        <v>6.1991330752323132E-2</v>
      </c>
      <c r="AH19" s="173">
        <f t="shared" si="2"/>
        <v>6.0884797397443874E-2</v>
      </c>
    </row>
    <row r="20" spans="1:34">
      <c r="A20" s="10" t="s">
        <v>142</v>
      </c>
      <c r="B20" s="37"/>
      <c r="C20" s="336">
        <f>EIA_electricity_aeo2014!E49*1000</f>
        <v>25599</v>
      </c>
      <c r="D20" s="336">
        <f>EIA_electricity_aeo2014!F49*1000</f>
        <v>25459</v>
      </c>
      <c r="E20" s="336">
        <f>EIA_electricity_aeo2014!G49*1000</f>
        <v>25352.051249786884</v>
      </c>
      <c r="F20" s="336">
        <f>EIA_electricity_aeo2014!H49*1000</f>
        <v>20623.067527865282</v>
      </c>
      <c r="G20" s="336">
        <f>EIA_electricity_aeo2014!I49*1000</f>
        <v>21143.314341793681</v>
      </c>
      <c r="H20" s="14">
        <f>EIA_electricity_aeo2014!J49*1000</f>
        <v>24057.582212195517</v>
      </c>
      <c r="I20" s="14">
        <f>EIA_electricity_aeo2014!K49*1000</f>
        <v>22242.778897584343</v>
      </c>
      <c r="J20" s="14">
        <f>EIA_electricity_aeo2014!L49*1000</f>
        <v>20654.537045357123</v>
      </c>
      <c r="K20" s="14">
        <f>EIA_electricity_aeo2014!M49*1000</f>
        <v>22516.573825951364</v>
      </c>
      <c r="L20" s="14">
        <f>EIA_electricity_aeo2014!N49*1000</f>
        <v>24508.001635824992</v>
      </c>
      <c r="M20" s="14">
        <f>EIA_electricity_aeo2014!O49*1000</f>
        <v>24790.390237500575</v>
      </c>
      <c r="N20" s="191">
        <f>EIA_electricity_aeo2014!P49*1000</f>
        <v>24228.045866740409</v>
      </c>
      <c r="O20" s="14">
        <f>EIA_electricity_aeo2014!Q49*1000</f>
        <v>24514.749031206513</v>
      </c>
      <c r="P20" s="14">
        <f>EIA_electricity_aeo2014!R49*1000</f>
        <v>24859.44999057008</v>
      </c>
      <c r="Q20" s="14">
        <f>EIA_electricity_aeo2014!S49*1000</f>
        <v>24999.584119858184</v>
      </c>
      <c r="R20" s="14">
        <f>EIA_electricity_aeo2014!T49*1000</f>
        <v>25320.57515133428</v>
      </c>
      <c r="S20" s="14">
        <f>EIA_electricity_aeo2014!U49*1000</f>
        <v>25564.673812700967</v>
      </c>
      <c r="T20" s="14">
        <f>EIA_electricity_aeo2014!V49*1000</f>
        <v>25562.64772594281</v>
      </c>
      <c r="U20" s="14">
        <f>EIA_electricity_aeo2014!W49*1000</f>
        <v>25664.135693884691</v>
      </c>
      <c r="V20" s="14">
        <f>EIA_electricity_aeo2014!X49*1000</f>
        <v>25641.739410680733</v>
      </c>
      <c r="W20" s="14">
        <f>EIA_electricity_aeo2014!Y49*1000</f>
        <v>25724.517494890089</v>
      </c>
      <c r="X20" s="188">
        <f>EIA_electricity_aeo2014!Z49*1000</f>
        <v>25783.750812098169</v>
      </c>
      <c r="Y20" s="14">
        <f>EIA_electricity_aeo2014!AA49*1000</f>
        <v>25782.484295585265</v>
      </c>
      <c r="Z20" s="14">
        <f>EIA_electricity_aeo2014!AB49*1000</f>
        <v>25841.481122784066</v>
      </c>
      <c r="AA20" s="14">
        <f>EIA_electricity_aeo2014!AC49*1000</f>
        <v>25863.070919861217</v>
      </c>
      <c r="AB20" s="14">
        <f>EIA_electricity_aeo2014!AD49*1000</f>
        <v>25899.051155232068</v>
      </c>
      <c r="AC20" s="14">
        <f>EIA_electricity_aeo2014!AE49*1000</f>
        <v>25891.657551961631</v>
      </c>
      <c r="AD20" s="14">
        <f>EIA_electricity_aeo2014!AF49*1000</f>
        <v>25915.21187197047</v>
      </c>
      <c r="AE20" s="14">
        <f>EIA_electricity_aeo2014!AG49*1000</f>
        <v>25898.552275948576</v>
      </c>
      <c r="AF20" s="14">
        <f>EIA_electricity_aeo2014!AH49*1000</f>
        <v>25910.53111055696</v>
      </c>
      <c r="AG20" s="14">
        <f>EIA_electricity_aeo2014!AI49*1000</f>
        <v>25904.233980264926</v>
      </c>
      <c r="AH20" s="14">
        <f>EIA_electricity_aeo2014!AJ49*1000</f>
        <v>25888.394032291359</v>
      </c>
    </row>
    <row r="21" spans="1:34">
      <c r="A21" s="10" t="s">
        <v>222</v>
      </c>
      <c r="B21" s="37"/>
      <c r="C21" s="336">
        <f>EIA_electricity_aeo2014!E51*1000</f>
        <v>12201</v>
      </c>
      <c r="D21" s="336">
        <f>EIA_electricity_aeo2014!F51*1000</f>
        <v>16999</v>
      </c>
      <c r="E21" s="336">
        <f>EIA_electricity_aeo2014!G51*1000</f>
        <v>19867.388483021026</v>
      </c>
      <c r="F21" s="336">
        <f>EIA_electricity_aeo2014!H51*1000</f>
        <v>27425.008613422404</v>
      </c>
      <c r="G21" s="336">
        <f>EIA_electricity_aeo2014!I51*1000</f>
        <v>23375.941631343368</v>
      </c>
      <c r="H21" s="14">
        <f>EIA_electricity_aeo2014!J51*1000</f>
        <v>20992.615393583194</v>
      </c>
      <c r="I21" s="14">
        <f>EIA_electricity_aeo2014!K51*1000</f>
        <v>26340.750187564037</v>
      </c>
      <c r="J21" s="14">
        <f>EIA_electricity_aeo2014!L51*1000</f>
        <v>28679.767872674125</v>
      </c>
      <c r="K21" s="14">
        <f>EIA_electricity_aeo2014!M51*1000</f>
        <v>28270.679045660356</v>
      </c>
      <c r="L21" s="14">
        <f>EIA_electricity_aeo2014!N51*1000</f>
        <v>24260.473982649946</v>
      </c>
      <c r="M21" s="14">
        <f>EIA_electricity_aeo2014!O51*1000</f>
        <v>23229.849820382675</v>
      </c>
      <c r="N21" s="191">
        <f>EIA_electricity_aeo2014!P51*1000</f>
        <v>25316.064552084037</v>
      </c>
      <c r="O21" s="14">
        <f>EIA_electricity_aeo2014!Q51*1000</f>
        <v>25259.222145927528</v>
      </c>
      <c r="P21" s="14">
        <f>EIA_electricity_aeo2014!R51*1000</f>
        <v>27313.880797687805</v>
      </c>
      <c r="Q21" s="14">
        <f>EIA_electricity_aeo2014!S51*1000</f>
        <v>27804.862304874179</v>
      </c>
      <c r="R21" s="14">
        <f>EIA_electricity_aeo2014!T51*1000</f>
        <v>29636.071871630502</v>
      </c>
      <c r="S21" s="14">
        <f>EIA_electricity_aeo2014!U51*1000</f>
        <v>30628.81695891661</v>
      </c>
      <c r="T21" s="14">
        <f>EIA_electricity_aeo2014!V51*1000</f>
        <v>31425.505853049366</v>
      </c>
      <c r="U21" s="14">
        <f>EIA_electricity_aeo2014!W51*1000</f>
        <v>34875.788974129398</v>
      </c>
      <c r="V21" s="14">
        <f>EIA_electricity_aeo2014!X51*1000</f>
        <v>35971.117352928653</v>
      </c>
      <c r="W21" s="14">
        <f>EIA_electricity_aeo2014!Y51*1000</f>
        <v>38035.955932471043</v>
      </c>
      <c r="X21" s="188">
        <f>EIA_electricity_aeo2014!Z51*1000</f>
        <v>39684.883258160589</v>
      </c>
      <c r="Y21" s="14">
        <f>EIA_electricity_aeo2014!AA51*1000</f>
        <v>39449.424251877077</v>
      </c>
      <c r="Z21" s="14">
        <f>EIA_electricity_aeo2014!AB51*1000</f>
        <v>39897.227995392212</v>
      </c>
      <c r="AA21" s="14">
        <f>EIA_electricity_aeo2014!AC51*1000</f>
        <v>40944.369686505983</v>
      </c>
      <c r="AB21" s="14">
        <f>EIA_electricity_aeo2014!AD51*1000</f>
        <v>42648.313194151197</v>
      </c>
      <c r="AC21" s="14">
        <f>EIA_electricity_aeo2014!AE51*1000</f>
        <v>43029.870607664459</v>
      </c>
      <c r="AD21" s="14">
        <f>EIA_electricity_aeo2014!AF51*1000</f>
        <v>43719.866263508018</v>
      </c>
      <c r="AE21" s="14">
        <f>EIA_electricity_aeo2014!AG51*1000</f>
        <v>44646.438522075856</v>
      </c>
      <c r="AF21" s="14">
        <f>EIA_electricity_aeo2014!AH51*1000</f>
        <v>45320.940955422928</v>
      </c>
      <c r="AG21" s="14">
        <f>EIA_electricity_aeo2014!AI51*1000</f>
        <v>47781.468041417618</v>
      </c>
      <c r="AH21" s="14">
        <f>EIA_electricity_aeo2014!AJ51*1000</f>
        <v>49825.065692316428</v>
      </c>
    </row>
    <row r="22" spans="1:34">
      <c r="A22" s="10" t="s">
        <v>351</v>
      </c>
      <c r="B22" s="37"/>
      <c r="C22" s="335">
        <f>SUM(C17,C20:C21)</f>
        <v>69894</v>
      </c>
      <c r="D22" s="335">
        <f t="shared" ref="D22:AH22" si="3">SUM(D17,D20:D21)</f>
        <v>72736</v>
      </c>
      <c r="E22" s="335">
        <f t="shared" si="3"/>
        <v>76299.396302110967</v>
      </c>
      <c r="F22" s="335">
        <f t="shared" si="3"/>
        <v>79415.453286824952</v>
      </c>
      <c r="G22" s="335">
        <f t="shared" si="3"/>
        <v>75925.502145601029</v>
      </c>
      <c r="H22" s="79">
        <f t="shared" si="3"/>
        <v>76617.403687694197</v>
      </c>
      <c r="I22" s="79">
        <f t="shared" si="3"/>
        <v>80954.40661767908</v>
      </c>
      <c r="J22" s="79">
        <f t="shared" si="3"/>
        <v>83206.708914587682</v>
      </c>
      <c r="K22" s="79">
        <f t="shared" si="3"/>
        <v>85640.722953792108</v>
      </c>
      <c r="L22" s="79">
        <f t="shared" si="3"/>
        <v>85012.623721130993</v>
      </c>
      <c r="M22" s="79">
        <f t="shared" si="3"/>
        <v>85756.006188067346</v>
      </c>
      <c r="N22" s="394">
        <f t="shared" si="3"/>
        <v>88499.102493360246</v>
      </c>
      <c r="O22" s="79">
        <f t="shared" si="3"/>
        <v>90209.919961409003</v>
      </c>
      <c r="P22" s="79">
        <f t="shared" si="3"/>
        <v>92723.215468406706</v>
      </c>
      <c r="Q22" s="79">
        <f t="shared" si="3"/>
        <v>93583.76320001125</v>
      </c>
      <c r="R22" s="79">
        <f t="shared" si="3"/>
        <v>95773.807524905147</v>
      </c>
      <c r="S22" s="79">
        <f t="shared" si="3"/>
        <v>97068.013836930928</v>
      </c>
      <c r="T22" s="79">
        <f t="shared" si="3"/>
        <v>97868.125294386322</v>
      </c>
      <c r="U22" s="79">
        <f t="shared" si="3"/>
        <v>101364.90274492078</v>
      </c>
      <c r="V22" s="79">
        <f t="shared" si="3"/>
        <v>102465.2383992273</v>
      </c>
      <c r="W22" s="79">
        <f t="shared" si="3"/>
        <v>104634.27871301335</v>
      </c>
      <c r="X22" s="185">
        <f t="shared" si="3"/>
        <v>106286.71518575048</v>
      </c>
      <c r="Y22" s="175">
        <f t="shared" si="3"/>
        <v>106084.06803787284</v>
      </c>
      <c r="Z22" s="175">
        <f t="shared" si="3"/>
        <v>106584.46744046605</v>
      </c>
      <c r="AA22" s="175">
        <f t="shared" si="3"/>
        <v>107663.17794935347</v>
      </c>
      <c r="AB22" s="175">
        <f t="shared" si="3"/>
        <v>109445.44481622738</v>
      </c>
      <c r="AC22" s="175">
        <f t="shared" si="3"/>
        <v>109846.70988101783</v>
      </c>
      <c r="AD22" s="175">
        <f t="shared" si="3"/>
        <v>110759.11305779286</v>
      </c>
      <c r="AE22" s="175">
        <f t="shared" si="3"/>
        <v>111738.81556203464</v>
      </c>
      <c r="AF22" s="175">
        <f t="shared" si="3"/>
        <v>112414.17269557167</v>
      </c>
      <c r="AG22" s="175">
        <f t="shared" si="3"/>
        <v>115080.0987657276</v>
      </c>
      <c r="AH22" s="175">
        <f t="shared" si="3"/>
        <v>117173.61922906199</v>
      </c>
    </row>
    <row r="23" spans="1:34">
      <c r="A23" s="10" t="s">
        <v>328</v>
      </c>
      <c r="B23" s="37"/>
      <c r="C23" s="335">
        <f>EIA_electricity_aeo2014!E50*1000+EIA_electricity_aeo2014!E55*1000</f>
        <v>1508</v>
      </c>
      <c r="D23" s="335">
        <f>EIA_electricity_aeo2014!F50*1000+EIA_electricity_aeo2014!F55*1000</f>
        <v>1707</v>
      </c>
      <c r="E23" s="335">
        <f>EIA_electricity_aeo2014!G50*1000+EIA_electricity_aeo2014!G55*1000</f>
        <v>480.41326001355304</v>
      </c>
      <c r="F23" s="335">
        <f>EIA_electricity_aeo2014!H50*1000+EIA_electricity_aeo2014!H55*1000</f>
        <v>343.52293715744077</v>
      </c>
      <c r="G23" s="335">
        <f>EIA_electricity_aeo2014!I50*1000+EIA_electricity_aeo2014!I55*1000</f>
        <v>583.33272830051999</v>
      </c>
      <c r="H23" s="335">
        <f>EIA_electricity_aeo2014!J50*1000+EIA_electricity_aeo2014!J55*1000</f>
        <v>615.81823408796549</v>
      </c>
      <c r="I23" s="335">
        <f>EIA_electricity_aeo2014!K50*1000+EIA_electricity_aeo2014!K55*1000</f>
        <v>598.04077434491887</v>
      </c>
      <c r="J23" s="335">
        <f>EIA_electricity_aeo2014!L50*1000+EIA_electricity_aeo2014!L55*1000</f>
        <v>586.99970367120284</v>
      </c>
      <c r="K23" s="335">
        <f>EIA_electricity_aeo2014!M50*1000+EIA_electricity_aeo2014!M55*1000</f>
        <v>598.94369792865484</v>
      </c>
      <c r="L23" s="335">
        <f>EIA_electricity_aeo2014!N50*1000+EIA_electricity_aeo2014!N55*1000</f>
        <v>620.86986778239509</v>
      </c>
      <c r="M23" s="335">
        <f>EIA_electricity_aeo2014!O50*1000+EIA_electricity_aeo2014!O55*1000</f>
        <v>626.72439271017583</v>
      </c>
      <c r="N23" s="335">
        <f>EIA_electricity_aeo2014!P50*1000+EIA_electricity_aeo2014!P55*1000</f>
        <v>632.93502733015509</v>
      </c>
      <c r="O23" s="335">
        <f>EIA_electricity_aeo2014!Q50*1000+EIA_electricity_aeo2014!Q55*1000</f>
        <v>650.46440912302035</v>
      </c>
      <c r="P23" s="335">
        <f>EIA_electricity_aeo2014!R50*1000+EIA_electricity_aeo2014!R55*1000</f>
        <v>657.00534024455965</v>
      </c>
      <c r="Q23" s="335">
        <f>EIA_electricity_aeo2014!S50*1000+EIA_electricity_aeo2014!S55*1000</f>
        <v>664.19130995231239</v>
      </c>
      <c r="R23" s="335">
        <f>EIA_electricity_aeo2014!T50*1000+EIA_electricity_aeo2014!T55*1000</f>
        <v>667.83985831108225</v>
      </c>
      <c r="S23" s="335">
        <f>EIA_electricity_aeo2014!U50*1000+EIA_electricity_aeo2014!U55*1000</f>
        <v>610.89249420915678</v>
      </c>
      <c r="T23" s="335">
        <f>EIA_electricity_aeo2014!V50*1000+EIA_electricity_aeo2014!V55*1000</f>
        <v>497.43343321553408</v>
      </c>
      <c r="U23" s="335">
        <f>EIA_electricity_aeo2014!W50*1000+EIA_electricity_aeo2014!W55*1000</f>
        <v>443.25143711569223</v>
      </c>
      <c r="V23" s="335">
        <f>EIA_electricity_aeo2014!X50*1000+EIA_electricity_aeo2014!X55*1000</f>
        <v>416.47698880613348</v>
      </c>
      <c r="W23" s="335">
        <f>EIA_electricity_aeo2014!Y50*1000+EIA_electricity_aeo2014!Y55*1000</f>
        <v>415.22000335064098</v>
      </c>
      <c r="X23" s="335">
        <f>EIA_electricity_aeo2014!Z50*1000+EIA_electricity_aeo2014!Z55*1000</f>
        <v>413.16144287693385</v>
      </c>
      <c r="Y23" s="335">
        <f>EIA_electricity_aeo2014!AA50*1000+EIA_electricity_aeo2014!AA55*1000</f>
        <v>408.91730716883376</v>
      </c>
      <c r="Z23" s="335">
        <f>EIA_electricity_aeo2014!AB50*1000+EIA_electricity_aeo2014!AB55*1000</f>
        <v>405.88606370914869</v>
      </c>
      <c r="AA23" s="335">
        <f>EIA_electricity_aeo2014!AC50*1000+EIA_electricity_aeo2014!AC55*1000</f>
        <v>392.70943397623194</v>
      </c>
      <c r="AB23" s="335">
        <f>EIA_electricity_aeo2014!AD50*1000+EIA_electricity_aeo2014!AD55*1000</f>
        <v>393.54259815772593</v>
      </c>
      <c r="AC23" s="335">
        <f>EIA_electricity_aeo2014!AE50*1000+EIA_electricity_aeo2014!AE55*1000</f>
        <v>392.64625564967315</v>
      </c>
      <c r="AD23" s="335">
        <f>EIA_electricity_aeo2014!AF50*1000+EIA_electricity_aeo2014!AF55*1000</f>
        <v>392.92529325864115</v>
      </c>
      <c r="AE23" s="335">
        <f>EIA_electricity_aeo2014!AG50*1000+EIA_electricity_aeo2014!AG55*1000</f>
        <v>398.24751256747101</v>
      </c>
      <c r="AF23" s="335">
        <f>EIA_electricity_aeo2014!AH50*1000+EIA_electricity_aeo2014!AH55*1000</f>
        <v>402.21361175043722</v>
      </c>
      <c r="AG23" s="335">
        <f>EIA_electricity_aeo2014!AI50*1000+EIA_electricity_aeo2014!AI55*1000</f>
        <v>407.84526301754471</v>
      </c>
      <c r="AH23" s="335">
        <f>EIA_electricity_aeo2014!AJ50*1000+EIA_electricity_aeo2014!AJ55*1000</f>
        <v>411.1134153700159</v>
      </c>
    </row>
    <row r="24" spans="1:34">
      <c r="A24" s="10" t="s">
        <v>345</v>
      </c>
      <c r="B24" s="37"/>
      <c r="C24" s="335">
        <f>SUM(C22:C23)</f>
        <v>71402</v>
      </c>
      <c r="D24" s="335">
        <f t="shared" ref="D24:AH24" si="4">SUM(D22:D23)</f>
        <v>74443</v>
      </c>
      <c r="E24" s="335">
        <f t="shared" si="4"/>
        <v>76779.809562124516</v>
      </c>
      <c r="F24" s="335">
        <f t="shared" si="4"/>
        <v>79758.97622398239</v>
      </c>
      <c r="G24" s="335">
        <f t="shared" si="4"/>
        <v>76508.834873901549</v>
      </c>
      <c r="H24" s="83">
        <f t="shared" si="4"/>
        <v>77233.221921782169</v>
      </c>
      <c r="I24" s="83">
        <f t="shared" si="4"/>
        <v>81552.447392023998</v>
      </c>
      <c r="J24" s="83">
        <f t="shared" si="4"/>
        <v>83793.708618258883</v>
      </c>
      <c r="K24" s="83">
        <f t="shared" si="4"/>
        <v>86239.666651720763</v>
      </c>
      <c r="L24" s="83">
        <f t="shared" si="4"/>
        <v>85633.493588913392</v>
      </c>
      <c r="M24" s="83">
        <f t="shared" si="4"/>
        <v>86382.730580777526</v>
      </c>
      <c r="N24" s="394">
        <f t="shared" si="4"/>
        <v>89132.037520690399</v>
      </c>
      <c r="O24" s="83">
        <f t="shared" si="4"/>
        <v>90860.384370532018</v>
      </c>
      <c r="P24" s="83">
        <f t="shared" si="4"/>
        <v>93380.220808651269</v>
      </c>
      <c r="Q24" s="83">
        <f t="shared" si="4"/>
        <v>94247.954509963558</v>
      </c>
      <c r="R24" s="83">
        <f t="shared" si="4"/>
        <v>96441.64738321623</v>
      </c>
      <c r="S24" s="83">
        <f t="shared" si="4"/>
        <v>97678.906331140082</v>
      </c>
      <c r="T24" s="83">
        <f t="shared" si="4"/>
        <v>98365.558727601863</v>
      </c>
      <c r="U24" s="83">
        <f t="shared" si="4"/>
        <v>101808.15418203647</v>
      </c>
      <c r="V24" s="83">
        <f t="shared" si="4"/>
        <v>102881.71538803342</v>
      </c>
      <c r="W24" s="83">
        <f t="shared" si="4"/>
        <v>105049.49871636399</v>
      </c>
      <c r="X24" s="185">
        <f t="shared" si="4"/>
        <v>106699.87662862742</v>
      </c>
      <c r="Y24" s="175">
        <f t="shared" si="4"/>
        <v>106492.98534504167</v>
      </c>
      <c r="Z24" s="175">
        <f t="shared" si="4"/>
        <v>106990.35350417519</v>
      </c>
      <c r="AA24" s="175">
        <f t="shared" si="4"/>
        <v>108055.8873833297</v>
      </c>
      <c r="AB24" s="175">
        <f t="shared" si="4"/>
        <v>109838.9874143851</v>
      </c>
      <c r="AC24" s="175">
        <f t="shared" si="4"/>
        <v>110239.3561366675</v>
      </c>
      <c r="AD24" s="175">
        <f t="shared" si="4"/>
        <v>111152.03835105149</v>
      </c>
      <c r="AE24" s="175">
        <f t="shared" si="4"/>
        <v>112137.06307460211</v>
      </c>
      <c r="AF24" s="175">
        <f t="shared" si="4"/>
        <v>112816.38630732211</v>
      </c>
      <c r="AG24" s="175">
        <f t="shared" si="4"/>
        <v>115487.94402874514</v>
      </c>
      <c r="AH24" s="175">
        <f t="shared" si="4"/>
        <v>117584.73264443201</v>
      </c>
    </row>
    <row r="25" spans="1:34">
      <c r="A25" s="10" t="s">
        <v>346</v>
      </c>
      <c r="B25" s="37"/>
      <c r="C25" s="337">
        <f t="shared" ref="C25:AH25" si="5">C24/C4-1</f>
        <v>-1.960345020726173E-4</v>
      </c>
      <c r="D25" s="337">
        <f t="shared" si="5"/>
        <v>-1.8802798930928066E-4</v>
      </c>
      <c r="E25" s="337">
        <f t="shared" si="5"/>
        <v>6.3759869903627919E-3</v>
      </c>
      <c r="F25" s="337">
        <f t="shared" si="5"/>
        <v>7.1747919378568614E-3</v>
      </c>
      <c r="G25" s="337">
        <f t="shared" si="5"/>
        <v>2.4385483776319106E-3</v>
      </c>
      <c r="H25" s="82">
        <f t="shared" si="5"/>
        <v>1.8366727708303277E-3</v>
      </c>
      <c r="I25" s="82">
        <f t="shared" si="5"/>
        <v>-9.6950840495435564E-3</v>
      </c>
      <c r="J25" s="82">
        <f t="shared" si="5"/>
        <v>-1.3431808646129917E-2</v>
      </c>
      <c r="K25" s="82">
        <f t="shared" si="5"/>
        <v>-1.4342605959369981E-2</v>
      </c>
      <c r="L25" s="82">
        <f t="shared" si="5"/>
        <v>-1.4327550163426017E-2</v>
      </c>
      <c r="M25" s="82">
        <f t="shared" si="5"/>
        <v>-1.3723933635505059E-2</v>
      </c>
      <c r="N25" s="200">
        <f t="shared" si="5"/>
        <v>-1.2049479104479288E-2</v>
      </c>
      <c r="O25" s="82">
        <f t="shared" si="5"/>
        <v>-9.8887525152036027E-3</v>
      </c>
      <c r="P25" s="82">
        <f t="shared" si="5"/>
        <v>-9.5658733854605549E-3</v>
      </c>
      <c r="Q25" s="82">
        <f t="shared" si="5"/>
        <v>-9.2694835948869958E-3</v>
      </c>
      <c r="R25" s="82">
        <f t="shared" si="5"/>
        <v>-9.1165088824716189E-3</v>
      </c>
      <c r="S25" s="82">
        <f t="shared" si="5"/>
        <v>-9.1762455577446556E-3</v>
      </c>
      <c r="T25" s="82">
        <f t="shared" si="5"/>
        <v>-9.5067202846021992E-3</v>
      </c>
      <c r="U25" s="82">
        <f t="shared" si="5"/>
        <v>-9.4931353546090502E-3</v>
      </c>
      <c r="V25" s="82">
        <f t="shared" si="5"/>
        <v>-9.7643429463530884E-3</v>
      </c>
      <c r="W25" s="82">
        <f t="shared" si="5"/>
        <v>-1.0249107154756909E-2</v>
      </c>
      <c r="X25" s="186">
        <f t="shared" si="5"/>
        <v>-1.1056511628417143E-2</v>
      </c>
      <c r="Y25" s="173">
        <f t="shared" si="5"/>
        <v>-1.2242917756580374E-2</v>
      </c>
      <c r="Z25" s="173">
        <f t="shared" si="5"/>
        <v>-1.2888998481981551E-2</v>
      </c>
      <c r="AA25" s="173">
        <f t="shared" si="5"/>
        <v>-1.3197414470871194E-2</v>
      </c>
      <c r="AB25" s="173">
        <f t="shared" si="5"/>
        <v>-1.4049671677468178E-2</v>
      </c>
      <c r="AC25" s="173">
        <f t="shared" si="5"/>
        <v>-1.5253399254100297E-2</v>
      </c>
      <c r="AD25" s="173">
        <f t="shared" si="5"/>
        <v>-1.6574500655426094E-2</v>
      </c>
      <c r="AE25" s="173">
        <f t="shared" si="5"/>
        <v>-1.9454655360394035E-2</v>
      </c>
      <c r="AF25" s="173">
        <f t="shared" si="5"/>
        <v>-2.4766317203368859E-2</v>
      </c>
      <c r="AG25" s="173">
        <f t="shared" si="5"/>
        <v>-2.8789571666399727E-2</v>
      </c>
      <c r="AH25" s="173">
        <f t="shared" si="5"/>
        <v>-3.2475271140869122E-2</v>
      </c>
    </row>
    <row r="26" spans="1:34">
      <c r="A26" s="10"/>
      <c r="B26" s="37"/>
      <c r="C26" s="337"/>
      <c r="D26" s="337"/>
      <c r="E26" s="337"/>
      <c r="F26" s="337"/>
      <c r="G26" s="337"/>
      <c r="H26" s="82"/>
      <c r="I26" s="82"/>
      <c r="J26" s="82"/>
      <c r="K26" s="82"/>
      <c r="L26" s="82"/>
      <c r="M26" s="82"/>
      <c r="N26" s="184" t="s">
        <v>0</v>
      </c>
      <c r="O26" s="91" t="s">
        <v>0</v>
      </c>
      <c r="P26" s="82"/>
      <c r="Q26" s="82"/>
      <c r="R26" s="82"/>
      <c r="S26" s="82"/>
      <c r="T26" s="82"/>
      <c r="U26" s="82"/>
      <c r="V26" s="82"/>
      <c r="W26" s="82"/>
      <c r="X26" s="186" t="s">
        <v>0</v>
      </c>
    </row>
    <row r="27" spans="1:34">
      <c r="A27" s="10"/>
      <c r="B27" s="37"/>
      <c r="C27" s="337"/>
      <c r="D27" s="337"/>
      <c r="E27" s="337"/>
      <c r="F27" s="337"/>
      <c r="G27" s="337"/>
      <c r="H27" s="165"/>
      <c r="I27" s="165"/>
      <c r="J27" s="165"/>
      <c r="K27" s="165"/>
      <c r="L27" s="165"/>
      <c r="M27" s="165"/>
      <c r="N27" s="184"/>
      <c r="O27" s="165"/>
      <c r="P27" s="165"/>
      <c r="Q27" s="165"/>
      <c r="R27" s="165"/>
      <c r="S27" s="165"/>
      <c r="T27" s="165"/>
      <c r="U27" s="165"/>
      <c r="V27" s="165"/>
      <c r="W27" s="165"/>
      <c r="X27" s="186"/>
    </row>
    <row r="28" spans="1:34">
      <c r="A28" s="9" t="s">
        <v>125</v>
      </c>
      <c r="B28" s="37"/>
      <c r="C28" s="337">
        <f t="shared" ref="C28:K28" si="6">C10/C$18</f>
        <v>0.71077523605811044</v>
      </c>
      <c r="D28" s="337">
        <f t="shared" si="6"/>
        <v>0.63644317115516247</v>
      </c>
      <c r="E28" s="337">
        <f t="shared" si="6"/>
        <v>0.63430348363206945</v>
      </c>
      <c r="F28" s="337">
        <f t="shared" si="6"/>
        <v>0.60739324855588295</v>
      </c>
      <c r="G28" s="337">
        <f t="shared" si="6"/>
        <v>0.70461703253488528</v>
      </c>
      <c r="H28" s="165">
        <f t="shared" si="6"/>
        <v>0.69490120955950307</v>
      </c>
      <c r="I28" s="165">
        <f t="shared" si="6"/>
        <v>0.69924912937821115</v>
      </c>
      <c r="J28" s="165">
        <f t="shared" si="6"/>
        <v>0.78507349010313643</v>
      </c>
      <c r="K28" s="165">
        <f t="shared" si="6"/>
        <v>0.76500682526001285</v>
      </c>
      <c r="L28" s="165">
        <f t="shared" ref="L28:L34" si="7">L10/L$18</f>
        <v>0.77056600769261174</v>
      </c>
      <c r="M28" s="165">
        <f t="shared" ref="M28:AH28" si="8">M10/M$18</f>
        <v>0.78995753190708284</v>
      </c>
      <c r="N28" s="186">
        <f t="shared" si="8"/>
        <v>0.82816711122608067</v>
      </c>
      <c r="O28" s="165">
        <f t="shared" si="8"/>
        <v>0.8657003541002235</v>
      </c>
      <c r="P28" s="165">
        <f t="shared" si="8"/>
        <v>0.86805166926647104</v>
      </c>
      <c r="Q28" s="165">
        <f t="shared" si="8"/>
        <v>0.87241159572591098</v>
      </c>
      <c r="R28" s="165">
        <f t="shared" si="8"/>
        <v>0.87320998038770536</v>
      </c>
      <c r="S28" s="165">
        <f t="shared" si="8"/>
        <v>0.87436171828058784</v>
      </c>
      <c r="T28" s="165">
        <f t="shared" si="8"/>
        <v>0.87461953883788024</v>
      </c>
      <c r="U28" s="165">
        <f t="shared" si="8"/>
        <v>0.87383282124668993</v>
      </c>
      <c r="V28" s="165">
        <f t="shared" si="8"/>
        <v>0.87456910886966754</v>
      </c>
      <c r="W28" s="165">
        <f t="shared" si="8"/>
        <v>0.87514075804049229</v>
      </c>
      <c r="X28" s="186">
        <f t="shared" si="8"/>
        <v>0.87445179790968142</v>
      </c>
      <c r="Y28" s="173">
        <f t="shared" si="8"/>
        <v>0.87531587307850178</v>
      </c>
      <c r="Z28" s="173">
        <f t="shared" si="8"/>
        <v>0.87523327996438027</v>
      </c>
      <c r="AA28" s="173">
        <f t="shared" si="8"/>
        <v>0.87567014984209568</v>
      </c>
      <c r="AB28" s="173">
        <f t="shared" si="8"/>
        <v>0.87662540909895414</v>
      </c>
      <c r="AC28" s="173">
        <f t="shared" si="8"/>
        <v>0.87733059476023623</v>
      </c>
      <c r="AD28" s="173">
        <f t="shared" si="8"/>
        <v>0.87813207267009152</v>
      </c>
      <c r="AE28" s="173">
        <f t="shared" si="8"/>
        <v>0.87881443787889868</v>
      </c>
      <c r="AF28" s="173">
        <f t="shared" si="8"/>
        <v>0.87880704213204341</v>
      </c>
      <c r="AG28" s="173">
        <f t="shared" si="8"/>
        <v>0.87952748174230089</v>
      </c>
      <c r="AH28" s="173">
        <f t="shared" si="8"/>
        <v>0.88019106399659108</v>
      </c>
    </row>
    <row r="29" spans="1:34">
      <c r="A29" s="9" t="s">
        <v>50</v>
      </c>
      <c r="B29" s="37"/>
      <c r="C29" s="337">
        <f t="shared" ref="C29:K29" si="9">C11/C$18</f>
        <v>0</v>
      </c>
      <c r="D29" s="337">
        <f t="shared" si="9"/>
        <v>0</v>
      </c>
      <c r="E29" s="337">
        <f t="shared" si="9"/>
        <v>0</v>
      </c>
      <c r="F29" s="337">
        <f t="shared" si="9"/>
        <v>0</v>
      </c>
      <c r="G29" s="337">
        <f t="shared" si="9"/>
        <v>0</v>
      </c>
      <c r="H29" s="165">
        <f t="shared" si="9"/>
        <v>0</v>
      </c>
      <c r="I29" s="165">
        <f t="shared" si="9"/>
        <v>0</v>
      </c>
      <c r="J29" s="165">
        <f t="shared" si="9"/>
        <v>0</v>
      </c>
      <c r="K29" s="165">
        <f t="shared" si="9"/>
        <v>0</v>
      </c>
      <c r="L29" s="165">
        <f t="shared" si="7"/>
        <v>0</v>
      </c>
      <c r="M29" s="165">
        <f t="shared" ref="M29:AH29" si="10">M11/M$18</f>
        <v>0</v>
      </c>
      <c r="N29" s="186">
        <f t="shared" si="10"/>
        <v>0</v>
      </c>
      <c r="O29" s="165">
        <f t="shared" si="10"/>
        <v>0</v>
      </c>
      <c r="P29" s="165">
        <f t="shared" si="10"/>
        <v>0</v>
      </c>
      <c r="Q29" s="165">
        <f t="shared" si="10"/>
        <v>0</v>
      </c>
      <c r="R29" s="165">
        <f t="shared" si="10"/>
        <v>0</v>
      </c>
      <c r="S29" s="165">
        <f t="shared" si="10"/>
        <v>0</v>
      </c>
      <c r="T29" s="165">
        <f t="shared" si="10"/>
        <v>0</v>
      </c>
      <c r="U29" s="165">
        <f t="shared" si="10"/>
        <v>0</v>
      </c>
      <c r="V29" s="165">
        <f t="shared" si="10"/>
        <v>0</v>
      </c>
      <c r="W29" s="165">
        <f t="shared" si="10"/>
        <v>0</v>
      </c>
      <c r="X29" s="186">
        <f t="shared" si="10"/>
        <v>0</v>
      </c>
      <c r="Y29" s="173">
        <f t="shared" si="10"/>
        <v>0</v>
      </c>
      <c r="Z29" s="173">
        <f t="shared" si="10"/>
        <v>0</v>
      </c>
      <c r="AA29" s="173">
        <f t="shared" si="10"/>
        <v>0</v>
      </c>
      <c r="AB29" s="173">
        <f t="shared" si="10"/>
        <v>0</v>
      </c>
      <c r="AC29" s="173">
        <f t="shared" si="10"/>
        <v>0</v>
      </c>
      <c r="AD29" s="173">
        <f t="shared" si="10"/>
        <v>0</v>
      </c>
      <c r="AE29" s="173">
        <f t="shared" si="10"/>
        <v>0</v>
      </c>
      <c r="AF29" s="173">
        <f t="shared" si="10"/>
        <v>0</v>
      </c>
      <c r="AG29" s="173">
        <f t="shared" si="10"/>
        <v>0</v>
      </c>
      <c r="AH29" s="173">
        <f t="shared" si="10"/>
        <v>0</v>
      </c>
    </row>
    <row r="30" spans="1:34">
      <c r="A30" s="9" t="s">
        <v>51</v>
      </c>
      <c r="B30" s="37"/>
      <c r="C30" s="337">
        <f t="shared" ref="C30:K30" si="11">C12/C$18</f>
        <v>0.28922060249437159</v>
      </c>
      <c r="D30" s="337">
        <f t="shared" si="11"/>
        <v>0.36355229577381787</v>
      </c>
      <c r="E30" s="337">
        <f t="shared" si="11"/>
        <v>0.36558150246568671</v>
      </c>
      <c r="F30" s="337">
        <f t="shared" si="11"/>
        <v>0.39250225805249012</v>
      </c>
      <c r="G30" s="337">
        <f t="shared" si="11"/>
        <v>0.29527558399121401</v>
      </c>
      <c r="H30" s="165">
        <f t="shared" si="11"/>
        <v>0.30499435060818209</v>
      </c>
      <c r="I30" s="165">
        <f t="shared" si="11"/>
        <v>0.30064797422348971</v>
      </c>
      <c r="J30" s="165">
        <f t="shared" si="11"/>
        <v>0.21485366959599408</v>
      </c>
      <c r="K30" s="165">
        <f t="shared" si="11"/>
        <v>0.23491382061497515</v>
      </c>
      <c r="L30" s="165">
        <f t="shared" si="7"/>
        <v>0.22935654697156985</v>
      </c>
      <c r="M30" s="165">
        <f t="shared" ref="M30:AH30" si="12">M12/M$18</f>
        <v>0.20997152144527231</v>
      </c>
      <c r="N30" s="186">
        <f t="shared" si="12"/>
        <v>0.17177472569877908</v>
      </c>
      <c r="O30" s="165">
        <f t="shared" si="12"/>
        <v>0.13425412992124539</v>
      </c>
      <c r="P30" s="165">
        <f t="shared" si="12"/>
        <v>0.13190356367483017</v>
      </c>
      <c r="Q30" s="165">
        <f t="shared" si="12"/>
        <v>0.12754507285999656</v>
      </c>
      <c r="R30" s="165">
        <f t="shared" si="12"/>
        <v>0.12674691620441095</v>
      </c>
      <c r="S30" s="165">
        <f t="shared" si="12"/>
        <v>0.12559551940039071</v>
      </c>
      <c r="T30" s="165">
        <f t="shared" si="12"/>
        <v>0.12533773029766088</v>
      </c>
      <c r="U30" s="165">
        <f t="shared" si="12"/>
        <v>0.1261241221691195</v>
      </c>
      <c r="V30" s="165">
        <f t="shared" si="12"/>
        <v>0.12538799780417856</v>
      </c>
      <c r="W30" s="165">
        <f t="shared" si="12"/>
        <v>0.12481647540605616</v>
      </c>
      <c r="X30" s="186">
        <f t="shared" si="12"/>
        <v>0.12550510419918487</v>
      </c>
      <c r="Y30" s="173">
        <f t="shared" si="12"/>
        <v>0.12464123227688097</v>
      </c>
      <c r="Z30" s="173">
        <f t="shared" si="12"/>
        <v>0.12472370232919304</v>
      </c>
      <c r="AA30" s="173">
        <f t="shared" si="12"/>
        <v>0.12428689193816109</v>
      </c>
      <c r="AB30" s="173">
        <f t="shared" si="12"/>
        <v>0.12333188327658531</v>
      </c>
      <c r="AC30" s="173">
        <f t="shared" si="12"/>
        <v>0.12262685647731186</v>
      </c>
      <c r="AD30" s="173">
        <f t="shared" si="12"/>
        <v>0.12182558106071996</v>
      </c>
      <c r="AE30" s="173">
        <f t="shared" si="12"/>
        <v>0.12114338515052336</v>
      </c>
      <c r="AF30" s="173">
        <f t="shared" si="12"/>
        <v>0.12115071698597452</v>
      </c>
      <c r="AG30" s="173">
        <f t="shared" si="12"/>
        <v>0.120430464246931</v>
      </c>
      <c r="AH30" s="173">
        <f t="shared" si="12"/>
        <v>0.11979406997501929</v>
      </c>
    </row>
    <row r="31" spans="1:34">
      <c r="A31" s="9" t="s">
        <v>347</v>
      </c>
      <c r="B31" s="37"/>
      <c r="C31" s="337">
        <f t="shared" ref="C31:K31" si="13">C13/C$18</f>
        <v>0</v>
      </c>
      <c r="D31" s="337">
        <f t="shared" si="13"/>
        <v>0</v>
      </c>
      <c r="E31" s="337">
        <f t="shared" si="13"/>
        <v>7.4202517576590167E-5</v>
      </c>
      <c r="F31" s="337">
        <f t="shared" si="13"/>
        <v>6.7415091372208157E-5</v>
      </c>
      <c r="G31" s="337">
        <f t="shared" si="13"/>
        <v>6.927966058116831E-5</v>
      </c>
      <c r="H31" s="165">
        <f t="shared" si="13"/>
        <v>6.7380536977288246E-5</v>
      </c>
      <c r="I31" s="165">
        <f t="shared" si="13"/>
        <v>6.6384773096138695E-5</v>
      </c>
      <c r="J31" s="165">
        <f t="shared" si="13"/>
        <v>4.6993742496324402E-5</v>
      </c>
      <c r="K31" s="165">
        <f t="shared" si="13"/>
        <v>5.119620968518669E-5</v>
      </c>
      <c r="L31" s="165">
        <f t="shared" si="7"/>
        <v>4.9964732786134979E-5</v>
      </c>
      <c r="M31" s="165">
        <f t="shared" ref="M31:AH31" si="14">M13/M$18</f>
        <v>4.5772030738587851E-5</v>
      </c>
      <c r="N31" s="186">
        <f t="shared" si="14"/>
        <v>3.7524564606505485E-5</v>
      </c>
      <c r="O31" s="165">
        <f t="shared" si="14"/>
        <v>2.9365147439425487E-5</v>
      </c>
      <c r="P31" s="165">
        <f t="shared" si="14"/>
        <v>2.8881973354006045E-5</v>
      </c>
      <c r="Q31" s="165">
        <f t="shared" si="14"/>
        <v>2.7955751027361977E-5</v>
      </c>
      <c r="R31" s="165">
        <f t="shared" si="14"/>
        <v>2.7808650247455204E-5</v>
      </c>
      <c r="S31" s="165">
        <f t="shared" si="14"/>
        <v>2.7588592917078883E-5</v>
      </c>
      <c r="T31" s="165">
        <f t="shared" si="14"/>
        <v>2.7568299650865387E-5</v>
      </c>
      <c r="U31" s="165">
        <f t="shared" si="14"/>
        <v>2.7778441413205169E-5</v>
      </c>
      <c r="V31" s="165">
        <f t="shared" si="14"/>
        <v>2.7673113647647504E-5</v>
      </c>
      <c r="W31" s="165">
        <f t="shared" si="14"/>
        <v>2.7591324807385846E-5</v>
      </c>
      <c r="X31" s="186">
        <f t="shared" si="14"/>
        <v>2.7805091053957891E-5</v>
      </c>
      <c r="Y31" s="173">
        <f t="shared" si="14"/>
        <v>2.7673964269146428E-5</v>
      </c>
      <c r="Z31" s="173">
        <f t="shared" si="14"/>
        <v>2.7753358984914281E-5</v>
      </c>
      <c r="AA31" s="173">
        <f t="shared" si="14"/>
        <v>2.7714980479491138E-5</v>
      </c>
      <c r="AB31" s="173">
        <f t="shared" si="14"/>
        <v>2.7553306103539016E-5</v>
      </c>
      <c r="AC31" s="173">
        <f t="shared" si="14"/>
        <v>2.7450814485009205E-5</v>
      </c>
      <c r="AD31" s="173">
        <f t="shared" si="14"/>
        <v>2.7320173670020211E-5</v>
      </c>
      <c r="AE31" s="173">
        <f t="shared" si="14"/>
        <v>2.7210948759983251E-5</v>
      </c>
      <c r="AF31" s="173">
        <f t="shared" si="14"/>
        <v>2.7252181923908825E-5</v>
      </c>
      <c r="AG31" s="173">
        <f t="shared" si="14"/>
        <v>2.7131619850357821E-5</v>
      </c>
      <c r="AH31" s="173">
        <f t="shared" si="14"/>
        <v>0</v>
      </c>
    </row>
    <row r="32" spans="1:34">
      <c r="A32" s="9" t="s">
        <v>348</v>
      </c>
      <c r="B32" s="37"/>
      <c r="C32" s="337">
        <f t="shared" ref="C32:K32" si="15">C14/C$18</f>
        <v>0</v>
      </c>
      <c r="D32" s="337">
        <f t="shared" si="15"/>
        <v>0</v>
      </c>
      <c r="E32" s="337">
        <f t="shared" si="15"/>
        <v>3.7101258788295083E-5</v>
      </c>
      <c r="F32" s="337">
        <f t="shared" si="15"/>
        <v>3.3707545686104079E-5</v>
      </c>
      <c r="G32" s="337">
        <f t="shared" si="15"/>
        <v>3.4639830290584155E-5</v>
      </c>
      <c r="H32" s="165">
        <f t="shared" si="15"/>
        <v>3.3690268488644123E-5</v>
      </c>
      <c r="I32" s="165">
        <f t="shared" si="15"/>
        <v>3.3192386548069347E-5</v>
      </c>
      <c r="J32" s="165">
        <f t="shared" si="15"/>
        <v>2.3496871248162201E-5</v>
      </c>
      <c r="K32" s="165">
        <f t="shared" si="15"/>
        <v>2.5598104842593345E-5</v>
      </c>
      <c r="L32" s="165">
        <f t="shared" si="7"/>
        <v>2.4982366393067489E-5</v>
      </c>
      <c r="M32" s="165">
        <f t="shared" ref="M32:AH32" si="16">M14/M$18</f>
        <v>2.2886015369293926E-5</v>
      </c>
      <c r="N32" s="186">
        <f t="shared" si="16"/>
        <v>1.8762282303252743E-5</v>
      </c>
      <c r="O32" s="165">
        <f t="shared" si="16"/>
        <v>1.4682573719712743E-5</v>
      </c>
      <c r="P32" s="165">
        <f t="shared" si="16"/>
        <v>1.4440986677003022E-5</v>
      </c>
      <c r="Q32" s="165">
        <f t="shared" si="16"/>
        <v>1.3977875513680988E-5</v>
      </c>
      <c r="R32" s="165">
        <f t="shared" si="16"/>
        <v>1.3904325123727602E-5</v>
      </c>
      <c r="S32" s="165">
        <f t="shared" si="16"/>
        <v>1.3794296458539441E-5</v>
      </c>
      <c r="T32" s="165">
        <f t="shared" si="16"/>
        <v>1.3784149825432694E-5</v>
      </c>
      <c r="U32" s="165">
        <f t="shared" si="16"/>
        <v>1.3889220706602585E-5</v>
      </c>
      <c r="V32" s="165">
        <f t="shared" si="16"/>
        <v>1.3836556823823752E-5</v>
      </c>
      <c r="W32" s="165">
        <f t="shared" si="16"/>
        <v>1.3795662403692923E-5</v>
      </c>
      <c r="X32" s="186">
        <f t="shared" si="16"/>
        <v>1.3902545526978945E-5</v>
      </c>
      <c r="Y32" s="173">
        <f t="shared" si="16"/>
        <v>1.3836982134573214E-5</v>
      </c>
      <c r="Z32" s="173">
        <f t="shared" si="16"/>
        <v>1.387667949245714E-5</v>
      </c>
      <c r="AA32" s="173">
        <f t="shared" si="16"/>
        <v>1.3857490239745569E-5</v>
      </c>
      <c r="AB32" s="173">
        <f t="shared" si="16"/>
        <v>1.3776653051769508E-5</v>
      </c>
      <c r="AC32" s="173">
        <f t="shared" si="16"/>
        <v>1.3725407242504603E-5</v>
      </c>
      <c r="AD32" s="173">
        <f t="shared" si="16"/>
        <v>1.3660086835010106E-5</v>
      </c>
      <c r="AE32" s="173">
        <f t="shared" si="16"/>
        <v>1.3605474379991626E-5</v>
      </c>
      <c r="AF32" s="173">
        <f t="shared" si="16"/>
        <v>1.3626090961954413E-5</v>
      </c>
      <c r="AG32" s="173">
        <f t="shared" si="16"/>
        <v>1.356580992517891E-5</v>
      </c>
      <c r="AH32" s="173">
        <f t="shared" si="16"/>
        <v>1.3514571263294562E-5</v>
      </c>
    </row>
    <row r="33" spans="1:36">
      <c r="A33" s="9" t="s">
        <v>344</v>
      </c>
      <c r="B33" s="37"/>
      <c r="C33" s="337">
        <f t="shared" ref="C33:K33" si="17">C15/C$18</f>
        <v>4.1614475179046278E-6</v>
      </c>
      <c r="D33" s="337">
        <f t="shared" si="17"/>
        <v>4.5330710196236643E-6</v>
      </c>
      <c r="E33" s="337">
        <f t="shared" si="17"/>
        <v>3.7101258788295077E-6</v>
      </c>
      <c r="F33" s="337">
        <f t="shared" si="17"/>
        <v>3.3707545686104079E-6</v>
      </c>
      <c r="G33" s="337">
        <f t="shared" si="17"/>
        <v>3.4639830290584156E-6</v>
      </c>
      <c r="H33" s="165">
        <f t="shared" si="17"/>
        <v>3.3690268488644122E-6</v>
      </c>
      <c r="I33" s="165">
        <f t="shared" si="17"/>
        <v>3.319238654806935E-6</v>
      </c>
      <c r="J33" s="165">
        <f t="shared" si="17"/>
        <v>2.34968712481622E-6</v>
      </c>
      <c r="K33" s="165">
        <f t="shared" si="17"/>
        <v>2.5598104842593343E-6</v>
      </c>
      <c r="L33" s="165">
        <f t="shared" si="7"/>
        <v>2.4982366393067488E-6</v>
      </c>
      <c r="M33" s="165">
        <f t="shared" ref="M33:AH33" si="18">M15/M$18</f>
        <v>2.2886015369293926E-6</v>
      </c>
      <c r="N33" s="186">
        <f t="shared" si="18"/>
        <v>1.876228230325274E-6</v>
      </c>
      <c r="O33" s="165">
        <f t="shared" si="18"/>
        <v>1.4682573719712743E-6</v>
      </c>
      <c r="P33" s="165">
        <f t="shared" si="18"/>
        <v>1.4440986677003021E-6</v>
      </c>
      <c r="Q33" s="165">
        <f t="shared" si="18"/>
        <v>1.3977875513680987E-6</v>
      </c>
      <c r="R33" s="165">
        <f t="shared" si="18"/>
        <v>1.3904325123727602E-6</v>
      </c>
      <c r="S33" s="165">
        <f t="shared" si="18"/>
        <v>1.379429645853944E-6</v>
      </c>
      <c r="T33" s="165">
        <f t="shared" si="18"/>
        <v>1.3784149825432693E-6</v>
      </c>
      <c r="U33" s="165">
        <f t="shared" si="18"/>
        <v>1.3889220706602583E-6</v>
      </c>
      <c r="V33" s="165">
        <f t="shared" si="18"/>
        <v>1.383655682382375E-6</v>
      </c>
      <c r="W33" s="165">
        <f t="shared" si="18"/>
        <v>1.3795662403692922E-6</v>
      </c>
      <c r="X33" s="186">
        <f t="shared" si="18"/>
        <v>1.3902545526978945E-6</v>
      </c>
      <c r="Y33" s="173">
        <f t="shared" si="18"/>
        <v>1.3836982134573213E-6</v>
      </c>
      <c r="Z33" s="173">
        <f t="shared" si="18"/>
        <v>1.387667949245714E-6</v>
      </c>
      <c r="AA33" s="173">
        <f t="shared" si="18"/>
        <v>1.3857490239745569E-6</v>
      </c>
      <c r="AB33" s="173">
        <f t="shared" si="18"/>
        <v>1.3776653051769507E-6</v>
      </c>
      <c r="AC33" s="173">
        <f t="shared" si="18"/>
        <v>1.3725407242504601E-6</v>
      </c>
      <c r="AD33" s="173">
        <f t="shared" si="18"/>
        <v>1.3660086835010104E-6</v>
      </c>
      <c r="AE33" s="173">
        <f t="shared" si="18"/>
        <v>1.3605474379991624E-6</v>
      </c>
      <c r="AF33" s="173">
        <f t="shared" si="18"/>
        <v>1.3626090961954413E-6</v>
      </c>
      <c r="AG33" s="173">
        <f t="shared" si="18"/>
        <v>1.3565809925178911E-6</v>
      </c>
      <c r="AH33" s="173">
        <f t="shared" si="18"/>
        <v>1.3514571263294562E-6</v>
      </c>
    </row>
    <row r="34" spans="1:36">
      <c r="A34" s="9" t="s">
        <v>53</v>
      </c>
      <c r="B34" s="37"/>
      <c r="C34" s="337">
        <f t="shared" ref="C34:K34" si="19">C16/C$18</f>
        <v>0</v>
      </c>
      <c r="D34" s="337">
        <f t="shared" si="19"/>
        <v>0</v>
      </c>
      <c r="E34" s="337">
        <f t="shared" si="19"/>
        <v>0</v>
      </c>
      <c r="F34" s="337">
        <f t="shared" si="19"/>
        <v>0</v>
      </c>
      <c r="G34" s="337">
        <f t="shared" si="19"/>
        <v>0</v>
      </c>
      <c r="H34" s="165">
        <f t="shared" si="19"/>
        <v>0</v>
      </c>
      <c r="I34" s="165">
        <f t="shared" si="19"/>
        <v>0</v>
      </c>
      <c r="J34" s="165">
        <f t="shared" si="19"/>
        <v>0</v>
      </c>
      <c r="K34" s="165">
        <f t="shared" si="19"/>
        <v>0</v>
      </c>
      <c r="L34" s="165">
        <f t="shared" si="7"/>
        <v>0</v>
      </c>
      <c r="M34" s="165">
        <f t="shared" ref="M34:AH34" si="20">M16/M$18</f>
        <v>0</v>
      </c>
      <c r="N34" s="186">
        <f t="shared" si="20"/>
        <v>0</v>
      </c>
      <c r="O34" s="165">
        <f t="shared" si="20"/>
        <v>0</v>
      </c>
      <c r="P34" s="165">
        <f t="shared" si="20"/>
        <v>0</v>
      </c>
      <c r="Q34" s="165">
        <f t="shared" si="20"/>
        <v>0</v>
      </c>
      <c r="R34" s="165">
        <f t="shared" si="20"/>
        <v>0</v>
      </c>
      <c r="S34" s="165">
        <f t="shared" si="20"/>
        <v>0</v>
      </c>
      <c r="T34" s="165">
        <f t="shared" si="20"/>
        <v>0</v>
      </c>
      <c r="U34" s="165">
        <f t="shared" si="20"/>
        <v>0</v>
      </c>
      <c r="V34" s="165">
        <f t="shared" si="20"/>
        <v>0</v>
      </c>
      <c r="W34" s="165">
        <f t="shared" si="20"/>
        <v>0</v>
      </c>
      <c r="X34" s="186">
        <f t="shared" si="20"/>
        <v>0</v>
      </c>
      <c r="Y34" s="173">
        <f t="shared" si="20"/>
        <v>0</v>
      </c>
      <c r="Z34" s="173">
        <f t="shared" si="20"/>
        <v>0</v>
      </c>
      <c r="AA34" s="173">
        <f t="shared" si="20"/>
        <v>0</v>
      </c>
      <c r="AB34" s="173">
        <f t="shared" si="20"/>
        <v>0</v>
      </c>
      <c r="AC34" s="173">
        <f t="shared" si="20"/>
        <v>0</v>
      </c>
      <c r="AD34" s="173">
        <f t="shared" si="20"/>
        <v>0</v>
      </c>
      <c r="AE34" s="173">
        <f t="shared" si="20"/>
        <v>0</v>
      </c>
      <c r="AF34" s="173">
        <f t="shared" si="20"/>
        <v>0</v>
      </c>
      <c r="AG34" s="173">
        <f t="shared" si="20"/>
        <v>0</v>
      </c>
      <c r="AH34" s="173">
        <f t="shared" si="20"/>
        <v>0</v>
      </c>
    </row>
    <row r="35" spans="1:36">
      <c r="A35" s="10"/>
      <c r="B35" s="37"/>
      <c r="C35" s="337"/>
      <c r="D35" s="337"/>
      <c r="E35" s="337"/>
      <c r="F35" s="337"/>
      <c r="G35" s="337"/>
      <c r="H35" s="165"/>
      <c r="I35" s="165"/>
      <c r="J35" s="165"/>
      <c r="K35" s="165"/>
      <c r="L35" s="165"/>
      <c r="M35" s="165"/>
      <c r="N35" s="184"/>
      <c r="O35" s="165"/>
      <c r="P35" s="165"/>
      <c r="Q35" s="165"/>
      <c r="R35" s="165"/>
      <c r="S35" s="165"/>
      <c r="T35" s="165"/>
      <c r="U35" s="165"/>
      <c r="V35" s="165"/>
      <c r="W35" s="165"/>
      <c r="X35" s="186"/>
    </row>
    <row r="36" spans="1:36">
      <c r="A36" s="10"/>
      <c r="B36" s="37"/>
      <c r="C36" s="337"/>
      <c r="D36" s="337"/>
      <c r="E36" s="337"/>
      <c r="F36" s="337"/>
      <c r="G36" s="337"/>
      <c r="H36" s="165"/>
      <c r="I36" s="165"/>
      <c r="J36" s="165"/>
      <c r="K36" s="165"/>
      <c r="L36" s="165"/>
      <c r="M36" s="165"/>
      <c r="N36" s="184"/>
      <c r="O36" s="165"/>
      <c r="P36" s="165"/>
      <c r="Q36" s="165"/>
      <c r="R36" s="165"/>
      <c r="S36" s="165"/>
      <c r="T36" s="165"/>
      <c r="U36" s="165"/>
      <c r="V36" s="165"/>
      <c r="W36" s="165"/>
      <c r="X36" s="186"/>
    </row>
    <row r="37" spans="1:36">
      <c r="A37" s="10"/>
      <c r="B37" s="37"/>
      <c r="C37" s="337"/>
      <c r="D37" s="337"/>
      <c r="E37" s="337"/>
      <c r="F37" s="337"/>
      <c r="G37" s="337"/>
      <c r="H37" s="165"/>
      <c r="I37" s="165"/>
      <c r="J37" s="165"/>
      <c r="K37" s="165"/>
      <c r="L37" s="165"/>
      <c r="M37" s="165"/>
      <c r="N37" s="184"/>
      <c r="O37" s="165"/>
      <c r="P37" s="165"/>
      <c r="Q37" s="165"/>
      <c r="R37" s="165"/>
      <c r="S37" s="165"/>
      <c r="T37" s="165"/>
      <c r="U37" s="165"/>
      <c r="V37" s="165"/>
      <c r="W37" s="165"/>
      <c r="X37" s="186"/>
    </row>
    <row r="38" spans="1:36">
      <c r="A38" s="10"/>
      <c r="B38" s="37"/>
      <c r="C38" s="337"/>
      <c r="D38" s="337"/>
      <c r="E38" s="337"/>
      <c r="F38" s="337"/>
      <c r="G38" s="337"/>
      <c r="H38" s="165"/>
      <c r="I38" s="165"/>
      <c r="J38" s="165"/>
      <c r="K38" s="165"/>
      <c r="L38" s="165"/>
      <c r="M38" s="165"/>
      <c r="N38" s="184"/>
      <c r="O38" s="165"/>
      <c r="P38" s="165"/>
      <c r="Q38" s="165"/>
      <c r="R38" s="165"/>
      <c r="S38" s="165"/>
      <c r="T38" s="165"/>
      <c r="U38" s="165"/>
      <c r="V38" s="165"/>
      <c r="W38" s="165"/>
      <c r="X38" s="186"/>
    </row>
    <row r="39" spans="1:36">
      <c r="A39" s="1" t="s">
        <v>139</v>
      </c>
      <c r="B39" s="13"/>
      <c r="D39" s="338"/>
      <c r="E39" s="338"/>
      <c r="F39" s="338"/>
      <c r="G39" s="338"/>
      <c r="H39" s="16"/>
      <c r="I39" s="16"/>
      <c r="J39" s="16"/>
      <c r="K39" s="16"/>
      <c r="L39" s="16"/>
      <c r="M39" s="16"/>
      <c r="N39" s="395" t="s">
        <v>0</v>
      </c>
    </row>
    <row r="40" spans="1:36" ht="15">
      <c r="A40" s="8" t="s">
        <v>61</v>
      </c>
      <c r="B40" s="34">
        <v>0</v>
      </c>
      <c r="C40" s="336">
        <f>C5*Inputs!$C$44</f>
        <v>0</v>
      </c>
      <c r="D40" s="336">
        <f>D5*Inputs!$C$44</f>
        <v>0</v>
      </c>
      <c r="E40" s="336">
        <f>E5*Inputs!$C$44</f>
        <v>0</v>
      </c>
      <c r="F40" s="336">
        <f>F5*Inputs!$C$44</f>
        <v>0</v>
      </c>
      <c r="G40" s="336">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6">
        <f>C6*Inputs!$C$47</f>
        <v>0</v>
      </c>
      <c r="D41" s="336">
        <f>D6*Inputs!$C$47</f>
        <v>0</v>
      </c>
      <c r="E41" s="336" t="s">
        <v>377</v>
      </c>
      <c r="F41" s="336">
        <f>F6*Inputs!$C$47</f>
        <v>0</v>
      </c>
      <c r="G41" s="336">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6">
        <f>C7*Inputs!$C$48</f>
        <v>221.8485</v>
      </c>
      <c r="D42" s="336">
        <f>D7*Inputs!$C$48</f>
        <v>224.99850000000001</v>
      </c>
      <c r="E42" s="336">
        <f>E7*Inputs!$C$48</f>
        <v>158.34210299999998</v>
      </c>
      <c r="F42" s="336">
        <f>F7*Inputs!$C$48</f>
        <v>151.20585299999999</v>
      </c>
      <c r="G42" s="336">
        <f>G7*Inputs!$C$48</f>
        <v>226.90887599999999</v>
      </c>
      <c r="H42" s="14">
        <f>H7*Inputs!$C$48</f>
        <v>231.86296799999997</v>
      </c>
      <c r="I42" s="14">
        <f>I7*Inputs!$C$48</f>
        <v>236.75901299999998</v>
      </c>
      <c r="J42" s="14">
        <f>J7*Inputs!$C$48</f>
        <v>241.67083199999999</v>
      </c>
      <c r="K42" s="14">
        <f>K7*Inputs!$C$48</f>
        <v>245.99884800000001</v>
      </c>
      <c r="L42" s="14">
        <f>L7*Inputs!$C$48</f>
        <v>245.99841899999998</v>
      </c>
      <c r="M42" s="14">
        <f>M7*Inputs!$C$48</f>
        <v>245.99841899999998</v>
      </c>
      <c r="N42" s="191">
        <f>N7*Inputs!$C$48</f>
        <v>245.99841899999998</v>
      </c>
      <c r="O42" s="14">
        <f>O7*Inputs!$C$48</f>
        <v>245.99841899999998</v>
      </c>
      <c r="P42" s="14">
        <f>P7*Inputs!$C$48</f>
        <v>245.99841899999998</v>
      </c>
      <c r="Q42" s="14">
        <f>Q7*Inputs!$C$48</f>
        <v>245.99841899999998</v>
      </c>
      <c r="R42" s="14">
        <f>R7*Inputs!$C$48</f>
        <v>245.99841899999998</v>
      </c>
      <c r="S42" s="14">
        <f>S7*Inputs!$C$48</f>
        <v>245.99841899999998</v>
      </c>
      <c r="T42" s="14">
        <f>T7*Inputs!$C$48</f>
        <v>245.99841899999998</v>
      </c>
      <c r="U42" s="14">
        <f>U7*Inputs!$C$48</f>
        <v>245.99841899999998</v>
      </c>
      <c r="V42" s="14">
        <f>V7*Inputs!$C$48</f>
        <v>245.99841899999998</v>
      </c>
      <c r="W42" s="14">
        <f>W7*Inputs!$C$48</f>
        <v>245.99841899999998</v>
      </c>
      <c r="X42" s="188">
        <f>X7*Inputs!$C$48</f>
        <v>245.99841899999998</v>
      </c>
      <c r="Y42" s="14">
        <f>Y7*Inputs!$C$48</f>
        <v>245.99841899999998</v>
      </c>
      <c r="Z42" s="14">
        <f>Z7*Inputs!$C$48</f>
        <v>248.13886499999998</v>
      </c>
      <c r="AA42" s="14">
        <f>AA7*Inputs!$C$48</f>
        <v>248.13886499999998</v>
      </c>
      <c r="AB42" s="14">
        <f>AB7*Inputs!$C$48</f>
        <v>248.13886499999998</v>
      </c>
      <c r="AC42" s="14">
        <f>AC7*Inputs!$C$48</f>
        <v>248.13886499999998</v>
      </c>
      <c r="AD42" s="14">
        <f>AD7*Inputs!$C$48</f>
        <v>248.13886499999998</v>
      </c>
      <c r="AE42" s="14">
        <f>AE7*Inputs!$C$48</f>
        <v>248.13886499999998</v>
      </c>
      <c r="AF42" s="14">
        <f>AF7*Inputs!$C$48</f>
        <v>248.13886499999998</v>
      </c>
      <c r="AG42" s="14">
        <f>AG7*Inputs!$C$48</f>
        <v>248.13886499999998</v>
      </c>
      <c r="AH42" s="14">
        <f>AH7*Inputs!$C$48</f>
        <v>248.13886499999998</v>
      </c>
    </row>
    <row r="43" spans="1:36" ht="15">
      <c r="A43" s="8" t="s">
        <v>59</v>
      </c>
      <c r="B43" s="34">
        <v>0</v>
      </c>
      <c r="C43" s="336">
        <f>C8*Inputs!$C$53</f>
        <v>3949.6800000000003</v>
      </c>
      <c r="D43" s="336">
        <f>D8*Inputs!$C$53</f>
        <v>3720.0800000000004</v>
      </c>
      <c r="E43" s="336">
        <f>E8*Inputs!$C$53</f>
        <v>3826.0622695259999</v>
      </c>
      <c r="F43" s="336">
        <f>F8*Inputs!$C$53</f>
        <v>3834.9700676839998</v>
      </c>
      <c r="G43" s="336">
        <f>G8*Inputs!$C$53</f>
        <v>3780.933822596</v>
      </c>
      <c r="H43" s="14">
        <f>H8*Inputs!$C$53</f>
        <v>3787.4531496200002</v>
      </c>
      <c r="I43" s="14">
        <f>I8*Inputs!$C$53</f>
        <v>3889.164305026</v>
      </c>
      <c r="J43" s="14">
        <f>J8*Inputs!$C$53</f>
        <v>3920.7531084260004</v>
      </c>
      <c r="K43" s="14">
        <f>K8*Inputs!$C$53</f>
        <v>4102.9713987779996</v>
      </c>
      <c r="L43" s="14">
        <f>L8*Inputs!$C$53</f>
        <v>4284.1869383740004</v>
      </c>
      <c r="M43" s="14">
        <f>M8*Inputs!$C$53</f>
        <v>4441.6814508500001</v>
      </c>
      <c r="N43" s="191">
        <f>N8*Inputs!$C$53</f>
        <v>4477.9224877940005</v>
      </c>
      <c r="O43" s="14">
        <f>O8*Inputs!$C$53</f>
        <v>4477.9230023219998</v>
      </c>
      <c r="P43" s="14">
        <f>P8*Inputs!$C$53</f>
        <v>4477.9224877940005</v>
      </c>
      <c r="Q43" s="14">
        <f>Q8*Inputs!$C$53</f>
        <v>4477.9230023219998</v>
      </c>
      <c r="R43" s="14">
        <f>R8*Inputs!$C$53</f>
        <v>4477.9230023219998</v>
      </c>
      <c r="S43" s="14">
        <f>S8*Inputs!$C$53</f>
        <v>4477.9224877940005</v>
      </c>
      <c r="T43" s="14">
        <f>T8*Inputs!$C$53</f>
        <v>4477.9382130559998</v>
      </c>
      <c r="U43" s="14">
        <f>U8*Inputs!$C$53</f>
        <v>4477.9224877940005</v>
      </c>
      <c r="V43" s="14">
        <f>V8*Inputs!$C$53</f>
        <v>4477.9224877940005</v>
      </c>
      <c r="W43" s="14">
        <f>W8*Inputs!$C$53</f>
        <v>4477.9224877940005</v>
      </c>
      <c r="X43" s="188">
        <f>X8*Inputs!$C$53</f>
        <v>4477.9230023219998</v>
      </c>
      <c r="Y43" s="14">
        <f>Y8*Inputs!$C$53</f>
        <v>4477.9224877940005</v>
      </c>
      <c r="Z43" s="14">
        <f>Z8*Inputs!$C$53</f>
        <v>4477.9230023219998</v>
      </c>
      <c r="AA43" s="14">
        <f>AA8*Inputs!$C$53</f>
        <v>4477.9230023219998</v>
      </c>
      <c r="AB43" s="14">
        <f>AB8*Inputs!$C$53</f>
        <v>4477.9230023219998</v>
      </c>
      <c r="AC43" s="14">
        <f>AC8*Inputs!$C$53</f>
        <v>4477.9230023219998</v>
      </c>
      <c r="AD43" s="14">
        <f>AD8*Inputs!$C$53</f>
        <v>4500.8849398519997</v>
      </c>
      <c r="AE43" s="14">
        <f>AE8*Inputs!$C$53</f>
        <v>4506.5416285260007</v>
      </c>
      <c r="AF43" s="14">
        <f>AF8*Inputs!$C$53</f>
        <v>4506.5411461559997</v>
      </c>
      <c r="AG43" s="14">
        <f>AG8*Inputs!$C$53</f>
        <v>4531.6130665399996</v>
      </c>
      <c r="AH43" s="14">
        <f>AH8*Inputs!$C$53</f>
        <v>4536.9071416059996</v>
      </c>
    </row>
    <row r="44" spans="1:36" ht="15">
      <c r="A44" s="8" t="s">
        <v>121</v>
      </c>
      <c r="B44" s="34">
        <v>1</v>
      </c>
      <c r="C44" s="336">
        <f>C10*Inputs!$C$46</f>
        <v>358.68</v>
      </c>
      <c r="D44" s="336">
        <f>D10*Inputs!$C$46</f>
        <v>294.83999999999997</v>
      </c>
      <c r="E44" s="336">
        <f>E10*Inputs!$C$46</f>
        <v>359.02752605461052</v>
      </c>
      <c r="F44" s="336">
        <f>F10*Inputs!$C$46</f>
        <v>378.4095804083384</v>
      </c>
      <c r="G44" s="336">
        <f>G10*Inputs!$C$46</f>
        <v>427.16599819066431</v>
      </c>
      <c r="H44" s="14">
        <f>H10*Inputs!$C$46</f>
        <v>433.14957272211586</v>
      </c>
      <c r="I44" s="14">
        <f>I10*Inputs!$C$46</f>
        <v>442.39758703932512</v>
      </c>
      <c r="J44" s="14">
        <f>J10*Inputs!$C$46</f>
        <v>701.64845004440133</v>
      </c>
      <c r="K44" s="14">
        <f>K10*Inputs!$C$46</f>
        <v>627.5911216571418</v>
      </c>
      <c r="L44" s="14">
        <f>L10*Inputs!$C$46</f>
        <v>647.73232074745556</v>
      </c>
      <c r="M44" s="14">
        <f>M10*Inputs!$C$46</f>
        <v>724.85786198965332</v>
      </c>
      <c r="N44" s="191">
        <f>N10*Inputs!$C$46</f>
        <v>926.93996682549641</v>
      </c>
      <c r="O44" s="14">
        <f>O10*Inputs!$C$46</f>
        <v>1238.182609067831</v>
      </c>
      <c r="P44" s="14">
        <f>P10*Inputs!$C$46</f>
        <v>1262.3157587718947</v>
      </c>
      <c r="Q44" s="14">
        <f>Q10*Inputs!$C$46</f>
        <v>1310.6887017496053</v>
      </c>
      <c r="R44" s="14">
        <f>R10*Inputs!$C$46</f>
        <v>1318.8277334546208</v>
      </c>
      <c r="S44" s="14">
        <f>S10*Inputs!$C$46</f>
        <v>1331.1005848743732</v>
      </c>
      <c r="T44" s="14">
        <f>T10*Inputs!$C$46</f>
        <v>1332.4732064147404</v>
      </c>
      <c r="U44" s="14">
        <f>U10*Inputs!$C$46</f>
        <v>1321.2036610129703</v>
      </c>
      <c r="V44" s="14">
        <f>V10*Inputs!$C$46</f>
        <v>1327.3498255462348</v>
      </c>
      <c r="W44" s="14">
        <f>W10*Inputs!$C$46</f>
        <v>1332.1546570993789</v>
      </c>
      <c r="X44" s="188">
        <f>X10*Inputs!$C$46</f>
        <v>1320.8723338087668</v>
      </c>
      <c r="Y44" s="14">
        <f>Y10*Inputs!$C$46</f>
        <v>1328.4423695771072</v>
      </c>
      <c r="Z44" s="14">
        <f>Z10*Inputs!$C$46</f>
        <v>1324.5170711943467</v>
      </c>
      <c r="AA44" s="14">
        <f>AA10*Inputs!$C$46</f>
        <v>1327.0132490471551</v>
      </c>
      <c r="AB44" s="14">
        <f>AB10*Inputs!$C$46</f>
        <v>1336.2558759301498</v>
      </c>
      <c r="AC44" s="14">
        <f>AC10*Inputs!$C$46</f>
        <v>1342.3239226673011</v>
      </c>
      <c r="AD44" s="14">
        <f>AD10*Inputs!$C$46</f>
        <v>1349.9748390185309</v>
      </c>
      <c r="AE44" s="14">
        <f>AE10*Inputs!$C$46</f>
        <v>1356.4468742521151</v>
      </c>
      <c r="AF44" s="14">
        <f>AF10*Inputs!$C$46</f>
        <v>1354.3831415995398</v>
      </c>
      <c r="AG44" s="14">
        <f>AG10*Inputs!$C$46</f>
        <v>1361.5167261268205</v>
      </c>
      <c r="AH44" s="14">
        <f>AH10*Inputs!$C$46</f>
        <v>1367.7098580352899</v>
      </c>
    </row>
    <row r="45" spans="1:36" ht="15">
      <c r="A45" s="8" t="s">
        <v>50</v>
      </c>
      <c r="B45" s="34">
        <v>1</v>
      </c>
      <c r="C45" s="336">
        <f>C11*Inputs!$C$49</f>
        <v>0</v>
      </c>
      <c r="D45" s="336">
        <f>D11*Inputs!$C$49</f>
        <v>0</v>
      </c>
      <c r="E45" s="336">
        <f>E11*Inputs!$C$49</f>
        <v>0</v>
      </c>
      <c r="F45" s="336">
        <f>F11*Inputs!$C$49</f>
        <v>0</v>
      </c>
      <c r="G45" s="336">
        <f>G11*Inputs!$C$49</f>
        <v>0</v>
      </c>
      <c r="H45" s="14">
        <f>H11*Inputs!$C$49</f>
        <v>0</v>
      </c>
      <c r="I45" s="14">
        <f>I11*Inputs!$C$49</f>
        <v>0</v>
      </c>
      <c r="J45" s="14">
        <f>J11*Inputs!$C$49</f>
        <v>0</v>
      </c>
      <c r="K45" s="14">
        <f>K11*Inputs!$C$49</f>
        <v>0</v>
      </c>
      <c r="L45" s="14">
        <f>L11*Inputs!$C$49</f>
        <v>0</v>
      </c>
      <c r="M45" s="14">
        <f>M11*Inputs!$C$49</f>
        <v>0</v>
      </c>
      <c r="N45" s="191">
        <f>N11*Inputs!$C$49</f>
        <v>0</v>
      </c>
      <c r="O45" s="14">
        <f>O11*Inputs!$C$49</f>
        <v>0</v>
      </c>
      <c r="P45" s="14">
        <f>P11*Inputs!$C$49</f>
        <v>0</v>
      </c>
      <c r="Q45" s="14">
        <f>Q11*Inputs!$C$49</f>
        <v>0</v>
      </c>
      <c r="R45" s="14">
        <f>R11*Inputs!$C$49</f>
        <v>0</v>
      </c>
      <c r="S45" s="14">
        <f>S11*Inputs!$C$49</f>
        <v>0</v>
      </c>
      <c r="T45" s="14">
        <f>T11*Inputs!$C$49</f>
        <v>0</v>
      </c>
      <c r="U45" s="14">
        <f>U11*Inputs!$C$49</f>
        <v>0</v>
      </c>
      <c r="V45" s="14">
        <f>V11*Inputs!$C$49</f>
        <v>0</v>
      </c>
      <c r="W45" s="14">
        <f>W11*Inputs!$C$49</f>
        <v>0</v>
      </c>
      <c r="X45" s="188">
        <f>X11*Inputs!$C$49</f>
        <v>0</v>
      </c>
      <c r="Y45" s="14">
        <f>Y11*Inputs!$C$49</f>
        <v>0</v>
      </c>
      <c r="Z45" s="14">
        <f>Z11*Inputs!$C$49</f>
        <v>0</v>
      </c>
      <c r="AA45" s="14">
        <f>AA11*Inputs!$C$49</f>
        <v>0</v>
      </c>
      <c r="AB45" s="14">
        <f>AB11*Inputs!$C$49</f>
        <v>0</v>
      </c>
      <c r="AC45" s="14">
        <f>AC11*Inputs!$C$49</f>
        <v>0</v>
      </c>
      <c r="AD45" s="14">
        <f>AD11*Inputs!$C$49</f>
        <v>0</v>
      </c>
      <c r="AE45" s="14">
        <f>AE11*Inputs!$C$49</f>
        <v>0</v>
      </c>
      <c r="AF45" s="14">
        <f>AF11*Inputs!$C$49</f>
        <v>0</v>
      </c>
      <c r="AG45" s="14">
        <f>AG11*Inputs!$C$49</f>
        <v>0</v>
      </c>
      <c r="AH45" s="14">
        <f>AH11*Inputs!$C$49</f>
        <v>0</v>
      </c>
    </row>
    <row r="46" spans="1:36" ht="15">
      <c r="A46" s="8" t="s">
        <v>51</v>
      </c>
      <c r="B46" s="34">
        <v>1</v>
      </c>
      <c r="C46" s="336">
        <f>C12*Inputs!$C$52</f>
        <v>104.25</v>
      </c>
      <c r="D46" s="336">
        <f>D12*Inputs!$C$52</f>
        <v>120.3</v>
      </c>
      <c r="E46" s="336">
        <f>E12*Inputs!$C$52</f>
        <v>147.80421786430969</v>
      </c>
      <c r="F46" s="336">
        <f>F12*Inputs!$C$52</f>
        <v>174.66516030606419</v>
      </c>
      <c r="G46" s="336">
        <f>G12*Inputs!$C$52</f>
        <v>127.86245552340779</v>
      </c>
      <c r="H46" s="14">
        <f>H12*Inputs!$C$52</f>
        <v>135.79337489295415</v>
      </c>
      <c r="I46" s="14">
        <f>I12*Inputs!$C$52</f>
        <v>135.86608503794542</v>
      </c>
      <c r="J46" s="14">
        <f>J12*Inputs!$C$52</f>
        <v>137.1589012810368</v>
      </c>
      <c r="K46" s="14">
        <f>K12*Inputs!$C$52</f>
        <v>137.65500730981614</v>
      </c>
      <c r="L46" s="14">
        <f>L12*Inputs!$C$52</f>
        <v>137.71106189236866</v>
      </c>
      <c r="M46" s="14">
        <f>M12*Inputs!$C$52</f>
        <v>137.61997319572083</v>
      </c>
      <c r="N46" s="191">
        <f>N12*Inputs!$C$52</f>
        <v>137.32982181144283</v>
      </c>
      <c r="O46" s="14">
        <f>O12*Inputs!$C$52</f>
        <v>137.15660396207974</v>
      </c>
      <c r="P46" s="14">
        <f>P12*Inputs!$C$52</f>
        <v>137.0095755488272</v>
      </c>
      <c r="Q46" s="14">
        <f>Q12*Inputs!$C$52</f>
        <v>136.87173641140299</v>
      </c>
      <c r="R46" s="14">
        <f>R12*Inputs!$C$52</f>
        <v>136.73470133561375</v>
      </c>
      <c r="S46" s="14">
        <f>S12*Inputs!$C$52</f>
        <v>136.57331467887951</v>
      </c>
      <c r="T46" s="14">
        <f>T12*Inputs!$C$52</f>
        <v>136.39331973859308</v>
      </c>
      <c r="U46" s="14">
        <f>U12*Inputs!$C$52</f>
        <v>136.21079774745382</v>
      </c>
      <c r="V46" s="14">
        <f>V12*Inputs!$C$52</f>
        <v>135.93121403037836</v>
      </c>
      <c r="W46" s="14">
        <f>W12*Inputs!$C$52</f>
        <v>135.71273899756099</v>
      </c>
      <c r="X46" s="188">
        <f>X12*Inputs!$C$52</f>
        <v>135.41236454392401</v>
      </c>
      <c r="Y46" s="14">
        <f>Y12*Inputs!$C$52</f>
        <v>135.11750365578402</v>
      </c>
      <c r="Z46" s="14">
        <f>Z12*Inputs!$C$52</f>
        <v>134.82011571679124</v>
      </c>
      <c r="AA46" s="14">
        <f>AA12*Inputs!$C$52</f>
        <v>134.53398464068815</v>
      </c>
      <c r="AB46" s="14">
        <f>AB12*Inputs!$C$52</f>
        <v>134.28357687436744</v>
      </c>
      <c r="AC46" s="14">
        <f>AC12*Inputs!$C$52</f>
        <v>134.01444595854664</v>
      </c>
      <c r="AD46" s="14">
        <f>AD12*Inputs!$C$52</f>
        <v>133.77540992106347</v>
      </c>
      <c r="AE46" s="14">
        <f>AE12*Inputs!$C$52</f>
        <v>133.56026600073383</v>
      </c>
      <c r="AF46" s="14">
        <f>AF12*Inputs!$C$52</f>
        <v>133.36625741480924</v>
      </c>
      <c r="AG46" s="14">
        <f>AG12*Inputs!$C$52</f>
        <v>133.16248522331711</v>
      </c>
      <c r="AH46" s="14">
        <f>AH12*Inputs!$C$52</f>
        <v>132.961010350782</v>
      </c>
    </row>
    <row r="47" spans="1:36" ht="15">
      <c r="A47" s="8" t="s">
        <v>347</v>
      </c>
      <c r="B47" s="34">
        <v>1</v>
      </c>
      <c r="C47" s="336">
        <f>C13*Inputs!$C$54</f>
        <v>0</v>
      </c>
      <c r="D47" s="336">
        <f>D13*Inputs!$C$54</f>
        <v>0</v>
      </c>
      <c r="E47" s="336">
        <f>E13*Inputs!$C$54</f>
        <v>0.15800000000000003</v>
      </c>
      <c r="F47" s="336">
        <f>F13*Inputs!$C$54</f>
        <v>0.15800000000000003</v>
      </c>
      <c r="G47" s="336">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1">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8">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6">
        <f>C14*Inputs!$C$55</f>
        <v>0</v>
      </c>
      <c r="D48" s="336">
        <f>D14*Inputs!$C$55</f>
        <v>0</v>
      </c>
      <c r="E48" s="336">
        <f>E14*Inputs!$C$55</f>
        <v>2.3000000000000003E-2</v>
      </c>
      <c r="F48" s="336">
        <f>F14*Inputs!$C$55</f>
        <v>2.3000000000000003E-2</v>
      </c>
      <c r="G48" s="336">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1">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8">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6">
        <f>C15*Inputs!$C$51</f>
        <v>2.7000000000000001E-3</v>
      </c>
      <c r="D49" s="336">
        <f>D15*Inputs!$C$51</f>
        <v>2.7000000000000001E-3</v>
      </c>
      <c r="E49" s="336">
        <f>E15*Inputs!$C$51</f>
        <v>2.7000000000000001E-3</v>
      </c>
      <c r="F49" s="336">
        <f>F15*Inputs!$C$51</f>
        <v>2.7000000000000001E-3</v>
      </c>
      <c r="G49" s="33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1">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8">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6">
        <f>C16*Inputs!$C$57</f>
        <v>0</v>
      </c>
      <c r="D50" s="336">
        <f>D16*Inputs!$C$57</f>
        <v>0</v>
      </c>
      <c r="E50" s="336">
        <f>E16*Inputs!$C$57</f>
        <v>0</v>
      </c>
      <c r="F50" s="336">
        <f>F16*Inputs!$C$57</f>
        <v>0</v>
      </c>
      <c r="G50" s="336">
        <f>G16*Inputs!$C$57</f>
        <v>0</v>
      </c>
      <c r="H50" s="14">
        <f>H16*Inputs!$C$57</f>
        <v>0</v>
      </c>
      <c r="I50" s="14">
        <f>I16*Inputs!$C$57</f>
        <v>0</v>
      </c>
      <c r="J50" s="14">
        <f>J16*Inputs!$C$57</f>
        <v>0</v>
      </c>
      <c r="K50" s="14">
        <f>K16*Inputs!$C$57</f>
        <v>0</v>
      </c>
      <c r="L50" s="14">
        <f>L16*Inputs!$C$57</f>
        <v>0</v>
      </c>
      <c r="M50" s="14">
        <f>M16*Inputs!$C$57</f>
        <v>0</v>
      </c>
      <c r="N50" s="191">
        <f>N16*Inputs!$C$57</f>
        <v>0</v>
      </c>
      <c r="O50" s="14">
        <f>O16*Inputs!$C$57</f>
        <v>0</v>
      </c>
      <c r="P50" s="14">
        <f>P16*Inputs!$C$57</f>
        <v>0</v>
      </c>
      <c r="Q50" s="14">
        <f>Q16*Inputs!$C$57</f>
        <v>0</v>
      </c>
      <c r="R50" s="14">
        <f>R16*Inputs!$C$57</f>
        <v>0</v>
      </c>
      <c r="S50" s="14">
        <f>S16*Inputs!$C$57</f>
        <v>0</v>
      </c>
      <c r="T50" s="14">
        <f>T16*Inputs!$C$57</f>
        <v>0</v>
      </c>
      <c r="U50" s="14">
        <f>U16*Inputs!$C$57</f>
        <v>0</v>
      </c>
      <c r="V50" s="14">
        <f>V16*Inputs!$C$57</f>
        <v>0</v>
      </c>
      <c r="W50" s="14">
        <f>W16*Inputs!$C$57</f>
        <v>0</v>
      </c>
      <c r="X50" s="188">
        <f>X16*Inputs!$C$57</f>
        <v>0</v>
      </c>
      <c r="Y50" s="14">
        <f>Y16*Inputs!$C$57</f>
        <v>0</v>
      </c>
      <c r="Z50" s="14">
        <f>Z16*Inputs!$C$57</f>
        <v>0</v>
      </c>
      <c r="AA50" s="14">
        <f>AA16*Inputs!$C$57</f>
        <v>0</v>
      </c>
      <c r="AB50" s="14">
        <f>AB16*Inputs!$C$57</f>
        <v>0</v>
      </c>
      <c r="AC50" s="14">
        <f>AC16*Inputs!$C$57</f>
        <v>0</v>
      </c>
      <c r="AD50" s="14">
        <f>AD16*Inputs!$C$57</f>
        <v>0</v>
      </c>
      <c r="AE50" s="14">
        <f>AE16*Inputs!$C$57</f>
        <v>0</v>
      </c>
      <c r="AF50" s="14">
        <f>AF16*Inputs!$C$57</f>
        <v>0</v>
      </c>
      <c r="AG50" s="14">
        <f>AG16*Inputs!$C$57</f>
        <v>0</v>
      </c>
      <c r="AH50" s="14">
        <f>AH16*Inputs!$C$57</f>
        <v>0</v>
      </c>
    </row>
    <row r="51" spans="1:34" s="20" customFormat="1" ht="15">
      <c r="A51" s="8" t="s">
        <v>128</v>
      </c>
      <c r="B51" s="38"/>
      <c r="C51" s="339">
        <f t="shared" ref="C51:AH51" si="21">SUMPRODUCT($B42:$B50,C42:C50)</f>
        <v>462.93270000000001</v>
      </c>
      <c r="D51" s="339">
        <f t="shared" si="21"/>
        <v>415.14269999999999</v>
      </c>
      <c r="E51" s="339">
        <f t="shared" si="21"/>
        <v>507.01544391892025</v>
      </c>
      <c r="F51" s="339">
        <f t="shared" si="21"/>
        <v>553.2584407144027</v>
      </c>
      <c r="G51" s="339">
        <f t="shared" si="21"/>
        <v>555.2121537140722</v>
      </c>
      <c r="H51" s="19">
        <f t="shared" si="21"/>
        <v>569.12664761507006</v>
      </c>
      <c r="I51" s="19">
        <f t="shared" si="21"/>
        <v>578.44737207727053</v>
      </c>
      <c r="J51" s="19">
        <f t="shared" si="21"/>
        <v>838.99105132543821</v>
      </c>
      <c r="K51" s="19">
        <f t="shared" si="21"/>
        <v>765.42982896695798</v>
      </c>
      <c r="L51" s="19">
        <f t="shared" si="21"/>
        <v>785.62708263982427</v>
      </c>
      <c r="M51" s="19">
        <f t="shared" si="21"/>
        <v>862.66153518537419</v>
      </c>
      <c r="N51" s="191">
        <f t="shared" si="21"/>
        <v>1064.453488636939</v>
      </c>
      <c r="O51" s="19">
        <f t="shared" si="21"/>
        <v>1375.5229130299106</v>
      </c>
      <c r="P51" s="19">
        <f t="shared" si="21"/>
        <v>1399.5090343207216</v>
      </c>
      <c r="Q51" s="19">
        <f t="shared" si="21"/>
        <v>1447.7441381610081</v>
      </c>
      <c r="R51" s="19">
        <f t="shared" si="21"/>
        <v>1455.7461347902342</v>
      </c>
      <c r="S51" s="19">
        <f t="shared" si="21"/>
        <v>1467.8575995532526</v>
      </c>
      <c r="T51" s="19">
        <f t="shared" si="21"/>
        <v>1469.0502261533334</v>
      </c>
      <c r="U51" s="19">
        <f t="shared" si="21"/>
        <v>1457.598158760424</v>
      </c>
      <c r="V51" s="19">
        <f t="shared" si="21"/>
        <v>1463.4647395766131</v>
      </c>
      <c r="W51" s="19">
        <f t="shared" si="21"/>
        <v>1468.0510960969398</v>
      </c>
      <c r="X51" s="183">
        <f t="shared" si="21"/>
        <v>1456.4683983526907</v>
      </c>
      <c r="Y51" s="19">
        <f t="shared" si="21"/>
        <v>1463.7435732328911</v>
      </c>
      <c r="Z51" s="19">
        <f t="shared" si="21"/>
        <v>1459.5208869111377</v>
      </c>
      <c r="AA51" s="19">
        <f t="shared" si="21"/>
        <v>1461.7309336878432</v>
      </c>
      <c r="AB51" s="19">
        <f t="shared" si="21"/>
        <v>1470.723152804517</v>
      </c>
      <c r="AC51" s="19">
        <f t="shared" si="21"/>
        <v>1476.5220686258476</v>
      </c>
      <c r="AD51" s="19">
        <f t="shared" si="21"/>
        <v>1483.9339489395943</v>
      </c>
      <c r="AE51" s="19">
        <f t="shared" si="21"/>
        <v>1490.1908402528488</v>
      </c>
      <c r="AF51" s="19">
        <f t="shared" si="21"/>
        <v>1487.933099014349</v>
      </c>
      <c r="AG51" s="19">
        <f t="shared" si="21"/>
        <v>1494.8629113501374</v>
      </c>
      <c r="AH51" s="19">
        <f t="shared" si="21"/>
        <v>1500.6965683860719</v>
      </c>
    </row>
    <row r="52" spans="1:34" s="20" customFormat="1" ht="15">
      <c r="A52" s="27" t="s">
        <v>329</v>
      </c>
      <c r="B52" s="39"/>
      <c r="C52" s="339">
        <f>SUM(C40:C50)</f>
        <v>4634.4612000000006</v>
      </c>
      <c r="D52" s="339">
        <f t="shared" ref="D52:I52" si="22">SUM(D42:D50)</f>
        <v>4360.2212000000009</v>
      </c>
      <c r="E52" s="339">
        <f t="shared" si="22"/>
        <v>4491.4198164449208</v>
      </c>
      <c r="F52" s="339">
        <f t="shared" si="22"/>
        <v>4539.4343613984029</v>
      </c>
      <c r="G52" s="339">
        <f t="shared" si="22"/>
        <v>4563.0548523100724</v>
      </c>
      <c r="H52" s="19">
        <f t="shared" si="22"/>
        <v>4588.4427652350714</v>
      </c>
      <c r="I52" s="19">
        <f t="shared" si="22"/>
        <v>4704.370690103271</v>
      </c>
      <c r="J52" s="19">
        <f t="shared" ref="J52:AH52" si="23">SUM(J42:J50)</f>
        <v>5001.4149917514387</v>
      </c>
      <c r="K52" s="19">
        <f t="shared" si="23"/>
        <v>5114.4000757449585</v>
      </c>
      <c r="L52" s="19">
        <f t="shared" si="23"/>
        <v>5315.8124400138249</v>
      </c>
      <c r="M52" s="19">
        <f t="shared" si="23"/>
        <v>5550.341405035374</v>
      </c>
      <c r="N52" s="191">
        <f t="shared" si="23"/>
        <v>5788.3743954309402</v>
      </c>
      <c r="O52" s="19">
        <f t="shared" si="23"/>
        <v>6099.4443343519097</v>
      </c>
      <c r="P52" s="19">
        <f t="shared" si="23"/>
        <v>6123.4299411147231</v>
      </c>
      <c r="Q52" s="19">
        <f t="shared" si="23"/>
        <v>6171.6655594830081</v>
      </c>
      <c r="R52" s="19">
        <f t="shared" si="23"/>
        <v>6179.6675561122347</v>
      </c>
      <c r="S52" s="19">
        <f t="shared" si="23"/>
        <v>6191.7785063472538</v>
      </c>
      <c r="T52" s="19">
        <f t="shared" si="23"/>
        <v>6192.9868582093331</v>
      </c>
      <c r="U52" s="19">
        <f t="shared" si="23"/>
        <v>6181.5190655544238</v>
      </c>
      <c r="V52" s="19">
        <f t="shared" si="23"/>
        <v>6187.3856463706134</v>
      </c>
      <c r="W52" s="19">
        <f t="shared" si="23"/>
        <v>6191.9720028909405</v>
      </c>
      <c r="X52" s="183">
        <f t="shared" si="23"/>
        <v>6180.3898196746904</v>
      </c>
      <c r="Y52" s="19">
        <f t="shared" si="23"/>
        <v>6187.6644800268923</v>
      </c>
      <c r="Z52" s="19">
        <f t="shared" si="23"/>
        <v>6185.5827542331381</v>
      </c>
      <c r="AA52" s="19">
        <f t="shared" si="23"/>
        <v>6187.7928010098431</v>
      </c>
      <c r="AB52" s="19">
        <f t="shared" si="23"/>
        <v>6196.7850201265173</v>
      </c>
      <c r="AC52" s="19">
        <f t="shared" si="23"/>
        <v>6202.5839359478477</v>
      </c>
      <c r="AD52" s="19">
        <f t="shared" si="23"/>
        <v>6232.9577537915948</v>
      </c>
      <c r="AE52" s="19">
        <f t="shared" si="23"/>
        <v>6244.8713337788495</v>
      </c>
      <c r="AF52" s="19">
        <f t="shared" si="23"/>
        <v>6242.6131101703495</v>
      </c>
      <c r="AG52" s="19">
        <f t="shared" si="23"/>
        <v>6274.6148428901379</v>
      </c>
      <c r="AH52" s="19">
        <f t="shared" si="23"/>
        <v>6285.7425749920712</v>
      </c>
    </row>
    <row r="53" spans="1:34" s="20" customFormat="1" ht="15">
      <c r="A53" s="27" t="s">
        <v>330</v>
      </c>
      <c r="B53" s="39"/>
      <c r="C53" s="339">
        <f>C20*Inputs!$C$60</f>
        <v>2815.89</v>
      </c>
      <c r="D53" s="339">
        <f>D20*Inputs!$C$60</f>
        <v>2800.4900000000002</v>
      </c>
      <c r="E53" s="339">
        <f>E20*Inputs!$C$60</f>
        <v>2788.725637476557</v>
      </c>
      <c r="F53" s="339">
        <f>F20*Inputs!$C$60</f>
        <v>2268.5374280651808</v>
      </c>
      <c r="G53" s="339">
        <f>G20*Inputs!$C$60</f>
        <v>2325.7645775973051</v>
      </c>
      <c r="H53" s="19">
        <f>H20*Inputs!$C$60</f>
        <v>2646.3340433415069</v>
      </c>
      <c r="I53" s="19">
        <f>I20*Inputs!$C$60</f>
        <v>2446.7056787342776</v>
      </c>
      <c r="J53" s="19">
        <f>J20*Inputs!$C$60</f>
        <v>2271.9990749892836</v>
      </c>
      <c r="K53" s="19">
        <f>K20*Inputs!$C$60</f>
        <v>2476.8231208546499</v>
      </c>
      <c r="L53" s="19">
        <f>L20*Inputs!$C$60</f>
        <v>2695.8801799407493</v>
      </c>
      <c r="M53" s="19">
        <f>M20*Inputs!$C$60</f>
        <v>2726.9429261250634</v>
      </c>
      <c r="N53" s="191">
        <f>N20*Inputs!$C$60</f>
        <v>2665.085045341445</v>
      </c>
      <c r="O53" s="19">
        <f>O20*Inputs!$C$60</f>
        <v>2696.6223934327163</v>
      </c>
      <c r="P53" s="19">
        <f>P20*Inputs!$C$60</f>
        <v>2734.5394989627089</v>
      </c>
      <c r="Q53" s="19">
        <f>Q20*Inputs!$C$60</f>
        <v>2749.9542531844004</v>
      </c>
      <c r="R53" s="19">
        <f>R20*Inputs!$C$60</f>
        <v>2785.2632666467707</v>
      </c>
      <c r="S53" s="19">
        <f>S20*Inputs!$C$60</f>
        <v>2812.1141193971062</v>
      </c>
      <c r="T53" s="19">
        <f>T20*Inputs!$C$60</f>
        <v>2811.8912498537093</v>
      </c>
      <c r="U53" s="19">
        <f>U20*Inputs!$C$60</f>
        <v>2823.054926327316</v>
      </c>
      <c r="V53" s="19">
        <f>V20*Inputs!$C$60</f>
        <v>2820.5913351748809</v>
      </c>
      <c r="W53" s="19">
        <f>W20*Inputs!$C$60</f>
        <v>2829.6969244379097</v>
      </c>
      <c r="X53" s="183">
        <f>X20*Inputs!$C$60</f>
        <v>2836.2125893307984</v>
      </c>
      <c r="Y53" s="19">
        <f>Y20*Inputs!$C$60</f>
        <v>2836.0732725143794</v>
      </c>
      <c r="Z53" s="19">
        <f>Z20*Inputs!$C$60</f>
        <v>2842.5629235062474</v>
      </c>
      <c r="AA53" s="19">
        <f>AA20*Inputs!$C$60</f>
        <v>2844.9378011847339</v>
      </c>
      <c r="AB53" s="19">
        <f>AB20*Inputs!$C$60</f>
        <v>2848.8956270755275</v>
      </c>
      <c r="AC53" s="19">
        <f>AC20*Inputs!$C$60</f>
        <v>2848.0823307157793</v>
      </c>
      <c r="AD53" s="19">
        <f>AD20*Inputs!$C$60</f>
        <v>2850.6733059167518</v>
      </c>
      <c r="AE53" s="19">
        <f>AE20*Inputs!$C$60</f>
        <v>2848.8407503543435</v>
      </c>
      <c r="AF53" s="19">
        <f>AF20*Inputs!$C$60</f>
        <v>2850.1584221612657</v>
      </c>
      <c r="AG53" s="19">
        <f>AG20*Inputs!$C$60</f>
        <v>2849.4657378291417</v>
      </c>
      <c r="AH53" s="19">
        <f>AH20*Inputs!$C$60</f>
        <v>2847.7233435520493</v>
      </c>
    </row>
    <row r="54" spans="1:34" s="20" customFormat="1" ht="15">
      <c r="A54" s="27" t="s">
        <v>222</v>
      </c>
      <c r="B54" s="39"/>
      <c r="C54" s="339">
        <f>C21*Inputs!$C$61</f>
        <v>1342.11</v>
      </c>
      <c r="D54" s="339">
        <f>D21*Inputs!$C$61</f>
        <v>1869.89</v>
      </c>
      <c r="E54" s="339">
        <f>E21*Inputs!$C$61</f>
        <v>2185.412733132313</v>
      </c>
      <c r="F54" s="339">
        <f>F21*Inputs!$C$61</f>
        <v>3016.7509474764643</v>
      </c>
      <c r="G54" s="339">
        <f>G21*Inputs!$C$61</f>
        <v>2571.3535794477707</v>
      </c>
      <c r="H54" s="19">
        <f>H21*Inputs!$C$61</f>
        <v>2309.1876932941514</v>
      </c>
      <c r="I54" s="19">
        <f>I21*Inputs!$C$61</f>
        <v>2897.4825206320443</v>
      </c>
      <c r="J54" s="19">
        <f>J21*Inputs!$C$61</f>
        <v>3154.7744659941536</v>
      </c>
      <c r="K54" s="19">
        <f>K21*Inputs!$C$61</f>
        <v>3109.7746950226392</v>
      </c>
      <c r="L54" s="19">
        <f>L21*Inputs!$C$61</f>
        <v>2668.6521380914942</v>
      </c>
      <c r="M54" s="19">
        <f>M21*Inputs!$C$61</f>
        <v>2555.2834802420944</v>
      </c>
      <c r="N54" s="191">
        <f>N21*Inputs!$C$61</f>
        <v>2784.7671007292442</v>
      </c>
      <c r="O54" s="19">
        <f>O21*Inputs!$C$61</f>
        <v>2778.514436052028</v>
      </c>
      <c r="P54" s="19">
        <f>P21*Inputs!$C$61</f>
        <v>3004.5268877456588</v>
      </c>
      <c r="Q54" s="19">
        <f>Q21*Inputs!$C$61</f>
        <v>3058.5348535361595</v>
      </c>
      <c r="R54" s="19">
        <f>R21*Inputs!$C$61</f>
        <v>3259.9679058793554</v>
      </c>
      <c r="S54" s="19">
        <f>S21*Inputs!$C$61</f>
        <v>3369.169865480827</v>
      </c>
      <c r="T54" s="19">
        <f>T21*Inputs!$C$61</f>
        <v>3456.8056438354301</v>
      </c>
      <c r="U54" s="19">
        <f>U21*Inputs!$C$61</f>
        <v>3836.3367871542337</v>
      </c>
      <c r="V54" s="19">
        <f>V21*Inputs!$C$61</f>
        <v>3956.8229088221519</v>
      </c>
      <c r="W54" s="19">
        <f>W21*Inputs!$C$61</f>
        <v>4183.9551525718143</v>
      </c>
      <c r="X54" s="183">
        <f>X21*Inputs!$C$61</f>
        <v>4365.337158397665</v>
      </c>
      <c r="Y54" s="19">
        <f>Y21*Inputs!$C$61</f>
        <v>4339.4366677064781</v>
      </c>
      <c r="Z54" s="19">
        <f>Z21*Inputs!$C$61</f>
        <v>4388.6950794931436</v>
      </c>
      <c r="AA54" s="19">
        <f>AA21*Inputs!$C$61</f>
        <v>4503.8806655156577</v>
      </c>
      <c r="AB54" s="19">
        <f>AB21*Inputs!$C$61</f>
        <v>4691.3144513566313</v>
      </c>
      <c r="AC54" s="19">
        <f>AC21*Inputs!$C$61</f>
        <v>4733.2857668430906</v>
      </c>
      <c r="AD54" s="19">
        <f>AD21*Inputs!$C$61</f>
        <v>4809.1852889858819</v>
      </c>
      <c r="AE54" s="19">
        <f>AE21*Inputs!$C$61</f>
        <v>4911.1082374283442</v>
      </c>
      <c r="AF54" s="19">
        <f>AF21*Inputs!$C$61</f>
        <v>4985.3035050965218</v>
      </c>
      <c r="AG54" s="19">
        <f>AG21*Inputs!$C$61</f>
        <v>5255.9614845559381</v>
      </c>
      <c r="AH54" s="19">
        <f>AH21*Inputs!$C$61</f>
        <v>5480.7572261548075</v>
      </c>
    </row>
    <row r="55" spans="1:34" s="20" customFormat="1" ht="15">
      <c r="A55" s="27" t="s">
        <v>58</v>
      </c>
      <c r="B55" s="39"/>
      <c r="C55" s="339">
        <f>SUM(C52:C54)</f>
        <v>8792.4612000000016</v>
      </c>
      <c r="D55" s="339">
        <f t="shared" ref="D55:AH55" si="24">SUM(D52:D54)</f>
        <v>9030.601200000001</v>
      </c>
      <c r="E55" s="339">
        <f t="shared" si="24"/>
        <v>9465.5581870537899</v>
      </c>
      <c r="F55" s="339">
        <f t="shared" si="24"/>
        <v>9824.722736940048</v>
      </c>
      <c r="G55" s="339">
        <f t="shared" si="24"/>
        <v>9460.1730093551487</v>
      </c>
      <c r="H55" s="19">
        <f t="shared" si="24"/>
        <v>9543.9645018707306</v>
      </c>
      <c r="I55" s="19">
        <f t="shared" si="24"/>
        <v>10048.558889469592</v>
      </c>
      <c r="J55" s="19">
        <f t="shared" si="24"/>
        <v>10428.188532734875</v>
      </c>
      <c r="K55" s="19">
        <f t="shared" si="24"/>
        <v>10700.997891622248</v>
      </c>
      <c r="L55" s="19">
        <f t="shared" si="24"/>
        <v>10680.344758046069</v>
      </c>
      <c r="M55" s="19">
        <f t="shared" si="24"/>
        <v>10832.567811402532</v>
      </c>
      <c r="N55" s="191">
        <f t="shared" si="24"/>
        <v>11238.22654150163</v>
      </c>
      <c r="O55" s="19">
        <f t="shared" si="24"/>
        <v>11574.581163836654</v>
      </c>
      <c r="P55" s="19">
        <f t="shared" si="24"/>
        <v>11862.49632782309</v>
      </c>
      <c r="Q55" s="19">
        <f t="shared" si="24"/>
        <v>11980.154666203567</v>
      </c>
      <c r="R55" s="19">
        <f t="shared" si="24"/>
        <v>12224.89872863836</v>
      </c>
      <c r="S55" s="19">
        <f t="shared" si="24"/>
        <v>12373.062491225188</v>
      </c>
      <c r="T55" s="19">
        <f t="shared" si="24"/>
        <v>12461.683751898474</v>
      </c>
      <c r="U55" s="19">
        <f t="shared" si="24"/>
        <v>12840.910779035974</v>
      </c>
      <c r="V55" s="19">
        <f t="shared" si="24"/>
        <v>12964.799890367647</v>
      </c>
      <c r="W55" s="19">
        <f t="shared" si="24"/>
        <v>13205.624079900665</v>
      </c>
      <c r="X55" s="183">
        <f t="shared" si="24"/>
        <v>13381.939567403155</v>
      </c>
      <c r="Y55" s="19">
        <f t="shared" si="24"/>
        <v>13363.174420247749</v>
      </c>
      <c r="Z55" s="19">
        <f t="shared" si="24"/>
        <v>13416.840757232529</v>
      </c>
      <c r="AA55" s="19">
        <f t="shared" si="24"/>
        <v>13536.611267710236</v>
      </c>
      <c r="AB55" s="19">
        <f t="shared" si="24"/>
        <v>13736.995098558677</v>
      </c>
      <c r="AC55" s="19">
        <f t="shared" si="24"/>
        <v>13783.952033506717</v>
      </c>
      <c r="AD55" s="19">
        <f t="shared" si="24"/>
        <v>13892.816348694229</v>
      </c>
      <c r="AE55" s="19">
        <f t="shared" si="24"/>
        <v>14004.820321561536</v>
      </c>
      <c r="AF55" s="19">
        <f t="shared" si="24"/>
        <v>14078.075037428138</v>
      </c>
      <c r="AG55" s="19">
        <f t="shared" si="24"/>
        <v>14380.042065275218</v>
      </c>
      <c r="AH55" s="19">
        <f t="shared" si="24"/>
        <v>14614.223144698928</v>
      </c>
    </row>
    <row r="57" spans="1:34">
      <c r="A57" s="1" t="s">
        <v>140</v>
      </c>
      <c r="B57" s="13"/>
      <c r="D57" s="338"/>
      <c r="E57" s="338"/>
      <c r="F57" s="338"/>
      <c r="G57" s="338"/>
      <c r="H57" s="16"/>
      <c r="I57" s="16"/>
      <c r="J57" s="16"/>
      <c r="K57" s="16"/>
      <c r="L57" s="16"/>
      <c r="M57" s="16"/>
      <c r="N57" s="395" t="s">
        <v>0</v>
      </c>
    </row>
    <row r="58" spans="1:34" ht="15">
      <c r="A58" s="8" t="s">
        <v>61</v>
      </c>
      <c r="B58" s="34">
        <v>0</v>
      </c>
      <c r="C58" s="336">
        <f>C40*Inputs!$H44</f>
        <v>0</v>
      </c>
      <c r="D58" s="336">
        <f>D40*Inputs!$H44</f>
        <v>0</v>
      </c>
      <c r="E58" s="336">
        <f>E40*Inputs!$H44</f>
        <v>0</v>
      </c>
      <c r="F58" s="336">
        <f>F40*Inputs!$H44</f>
        <v>0</v>
      </c>
      <c r="G58" s="336">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6">
        <f>C41*Inputs!$H47</f>
        <v>0</v>
      </c>
      <c r="D59" s="336">
        <f>D41*Inputs!$H47</f>
        <v>0</v>
      </c>
      <c r="E59" s="336" t="s">
        <v>377</v>
      </c>
      <c r="F59" s="336">
        <f>F41*Inputs!$H47</f>
        <v>0</v>
      </c>
      <c r="G59" s="336">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6">
        <f>C42*Inputs!$H48</f>
        <v>199.66365000000002</v>
      </c>
      <c r="D60" s="336">
        <f>D42*Inputs!$H48</f>
        <v>202.49865</v>
      </c>
      <c r="E60" s="336">
        <f>E42*Inputs!$H48</f>
        <v>142.50789269999999</v>
      </c>
      <c r="F60" s="336">
        <f>F42*Inputs!$H48</f>
        <v>136.0852677</v>
      </c>
      <c r="G60" s="336">
        <f>G42*Inputs!$H48</f>
        <v>204.2179884</v>
      </c>
      <c r="H60" s="14">
        <f>H42*Inputs!$H48</f>
        <v>208.67667119999999</v>
      </c>
      <c r="I60" s="14">
        <f>I42*Inputs!$H48</f>
        <v>213.08311169999999</v>
      </c>
      <c r="J60" s="14">
        <f>J42*Inputs!$H48</f>
        <v>217.50374879999998</v>
      </c>
      <c r="K60" s="14">
        <f>K42*Inputs!$H48</f>
        <v>221.39896320000003</v>
      </c>
      <c r="L60" s="14">
        <f>L42*Inputs!$H48</f>
        <v>221.39857709999998</v>
      </c>
      <c r="M60" s="14">
        <f>M42*Inputs!$H48</f>
        <v>221.39857709999998</v>
      </c>
      <c r="N60" s="191">
        <f>N42*Inputs!$H48</f>
        <v>221.39857709999998</v>
      </c>
      <c r="O60" s="14">
        <f>O42*Inputs!$H48</f>
        <v>221.39857709999998</v>
      </c>
      <c r="P60" s="14">
        <f>P42*Inputs!$H48</f>
        <v>221.39857709999998</v>
      </c>
      <c r="Q60" s="14">
        <f>Q42*Inputs!$H48</f>
        <v>221.39857709999998</v>
      </c>
      <c r="R60" s="14">
        <f>R42*Inputs!$H48</f>
        <v>221.39857709999998</v>
      </c>
      <c r="S60" s="14">
        <f>S42*Inputs!$H48</f>
        <v>221.39857709999998</v>
      </c>
      <c r="T60" s="14">
        <f>T42*Inputs!$H48</f>
        <v>221.39857709999998</v>
      </c>
      <c r="U60" s="14">
        <f>U42*Inputs!$H48</f>
        <v>221.39857709999998</v>
      </c>
      <c r="V60" s="14">
        <f>V42*Inputs!$H48</f>
        <v>221.39857709999998</v>
      </c>
      <c r="W60" s="14">
        <f>W42*Inputs!$H48</f>
        <v>221.39857709999998</v>
      </c>
      <c r="X60" s="188">
        <f>X42*Inputs!$H48</f>
        <v>221.39857709999998</v>
      </c>
      <c r="Y60" s="14">
        <f>Y42*Inputs!$H48</f>
        <v>221.39857709999998</v>
      </c>
      <c r="Z60" s="14">
        <f>Z42*Inputs!$H48</f>
        <v>223.32497849999999</v>
      </c>
      <c r="AA60" s="14">
        <f>AA42*Inputs!$H48</f>
        <v>223.32497849999999</v>
      </c>
      <c r="AB60" s="14">
        <f>AB42*Inputs!$H48</f>
        <v>223.32497849999999</v>
      </c>
      <c r="AC60" s="14">
        <f>AC42*Inputs!$H48</f>
        <v>223.32497849999999</v>
      </c>
      <c r="AD60" s="14">
        <f>AD42*Inputs!$H48</f>
        <v>223.32497849999999</v>
      </c>
      <c r="AE60" s="14">
        <f>AE42*Inputs!$H48</f>
        <v>223.32497849999999</v>
      </c>
      <c r="AF60" s="14">
        <f>AF42*Inputs!$H48</f>
        <v>223.32497849999999</v>
      </c>
      <c r="AG60" s="14">
        <f>AG42*Inputs!$H48</f>
        <v>223.32497849999999</v>
      </c>
      <c r="AH60" s="14">
        <f>AH42*Inputs!$H48</f>
        <v>223.32497849999999</v>
      </c>
    </row>
    <row r="61" spans="1:34" ht="15">
      <c r="A61" s="8" t="s">
        <v>59</v>
      </c>
      <c r="B61" s="34">
        <v>0</v>
      </c>
      <c r="C61" s="336">
        <f>C43*Inputs!$H53</f>
        <v>3554.7120000000004</v>
      </c>
      <c r="D61" s="336">
        <f>D43*Inputs!$H53</f>
        <v>3348.0720000000006</v>
      </c>
      <c r="E61" s="336">
        <f>E43*Inputs!$H53</f>
        <v>3443.4560425733998</v>
      </c>
      <c r="F61" s="336">
        <f>F43*Inputs!$H53</f>
        <v>3451.4730609155999</v>
      </c>
      <c r="G61" s="336">
        <f>G43*Inputs!$H53</f>
        <v>3402.8404403364002</v>
      </c>
      <c r="H61" s="14">
        <f>H43*Inputs!$H53</f>
        <v>3408.7078346580001</v>
      </c>
      <c r="I61" s="14">
        <f>I43*Inputs!$H53</f>
        <v>3500.2478745234002</v>
      </c>
      <c r="J61" s="14">
        <f>J43*Inputs!$H53</f>
        <v>3528.6777975834002</v>
      </c>
      <c r="K61" s="14">
        <f>K43*Inputs!$H53</f>
        <v>3692.6742589001997</v>
      </c>
      <c r="L61" s="14">
        <f>L43*Inputs!$H53</f>
        <v>3855.7682445366004</v>
      </c>
      <c r="M61" s="14">
        <f>M43*Inputs!$H53</f>
        <v>3997.513305765</v>
      </c>
      <c r="N61" s="191">
        <f>N43*Inputs!$H53</f>
        <v>4030.1302390146006</v>
      </c>
      <c r="O61" s="14">
        <f>O43*Inputs!$H53</f>
        <v>4030.1307020897998</v>
      </c>
      <c r="P61" s="14">
        <f>P43*Inputs!$H53</f>
        <v>4030.1302390146006</v>
      </c>
      <c r="Q61" s="14">
        <f>Q43*Inputs!$H53</f>
        <v>4030.1307020897998</v>
      </c>
      <c r="R61" s="14">
        <f>R43*Inputs!$H53</f>
        <v>4030.1307020897998</v>
      </c>
      <c r="S61" s="14">
        <f>S43*Inputs!$H53</f>
        <v>4030.1302390146006</v>
      </c>
      <c r="T61" s="14">
        <f>T43*Inputs!$H53</f>
        <v>4030.1443917503998</v>
      </c>
      <c r="U61" s="14">
        <f>U43*Inputs!$H53</f>
        <v>4030.1302390146006</v>
      </c>
      <c r="V61" s="14">
        <f>V43*Inputs!$H53</f>
        <v>4030.1302390146006</v>
      </c>
      <c r="W61" s="14">
        <f>W43*Inputs!$H53</f>
        <v>4030.1302390146006</v>
      </c>
      <c r="X61" s="188">
        <f>X43*Inputs!$H53</f>
        <v>4030.1307020897998</v>
      </c>
      <c r="Y61" s="14">
        <f>Y43*Inputs!$H53</f>
        <v>4030.1302390146006</v>
      </c>
      <c r="Z61" s="14">
        <f>Z43*Inputs!$H53</f>
        <v>4030.1307020897998</v>
      </c>
      <c r="AA61" s="14">
        <f>AA43*Inputs!$H53</f>
        <v>4030.1307020897998</v>
      </c>
      <c r="AB61" s="14">
        <f>AB43*Inputs!$H53</f>
        <v>4030.1307020897998</v>
      </c>
      <c r="AC61" s="14">
        <f>AC43*Inputs!$H53</f>
        <v>4030.1307020897998</v>
      </c>
      <c r="AD61" s="14">
        <f>AD43*Inputs!$H53</f>
        <v>4050.7964458667998</v>
      </c>
      <c r="AE61" s="14">
        <f>AE43*Inputs!$H53</f>
        <v>4055.8874656734006</v>
      </c>
      <c r="AF61" s="14">
        <f>AF43*Inputs!$H53</f>
        <v>4055.8870315403997</v>
      </c>
      <c r="AG61" s="14">
        <f>AG43*Inputs!$H53</f>
        <v>4078.4517598859998</v>
      </c>
      <c r="AH61" s="14">
        <f>AH43*Inputs!$H53</f>
        <v>4083.2164274453999</v>
      </c>
    </row>
    <row r="62" spans="1:34" ht="15">
      <c r="A62" s="8" t="s">
        <v>121</v>
      </c>
      <c r="B62" s="34">
        <v>1</v>
      </c>
      <c r="C62" s="336">
        <f>C44*Inputs!$H46</f>
        <v>322.81200000000001</v>
      </c>
      <c r="D62" s="336">
        <f>D44*Inputs!$H46</f>
        <v>265.35599999999999</v>
      </c>
      <c r="E62" s="336">
        <f>E44*Inputs!$H46</f>
        <v>323.12477344914947</v>
      </c>
      <c r="F62" s="336">
        <f>F44*Inputs!$H46</f>
        <v>340.56862236750459</v>
      </c>
      <c r="G62" s="336">
        <f>G44*Inputs!$H46</f>
        <v>384.44939837159791</v>
      </c>
      <c r="H62" s="14">
        <f>H44*Inputs!$H46</f>
        <v>389.83461544990428</v>
      </c>
      <c r="I62" s="14">
        <f>I44*Inputs!$H46</f>
        <v>398.15782833539259</v>
      </c>
      <c r="J62" s="14">
        <f>J44*Inputs!$H46</f>
        <v>631.48360503996116</v>
      </c>
      <c r="K62" s="14">
        <f>K44*Inputs!$H46</f>
        <v>564.83200949142758</v>
      </c>
      <c r="L62" s="14">
        <f>L44*Inputs!$H46</f>
        <v>582.95908867270998</v>
      </c>
      <c r="M62" s="14">
        <f>M44*Inputs!$H46</f>
        <v>652.37207579068797</v>
      </c>
      <c r="N62" s="191">
        <f>N44*Inputs!$H46</f>
        <v>834.24597014294682</v>
      </c>
      <c r="O62" s="14">
        <f>O44*Inputs!$H46</f>
        <v>1114.3643481610479</v>
      </c>
      <c r="P62" s="14">
        <f>P44*Inputs!$H46</f>
        <v>1136.0841828947052</v>
      </c>
      <c r="Q62" s="14">
        <f>Q44*Inputs!$H46</f>
        <v>1179.6198315746449</v>
      </c>
      <c r="R62" s="14">
        <f>R44*Inputs!$H46</f>
        <v>1186.9449601091587</v>
      </c>
      <c r="S62" s="14">
        <f>S44*Inputs!$H46</f>
        <v>1197.9905263869359</v>
      </c>
      <c r="T62" s="14">
        <f>T44*Inputs!$H46</f>
        <v>1199.2258857732663</v>
      </c>
      <c r="U62" s="14">
        <f>U44*Inputs!$H46</f>
        <v>1189.0832949116734</v>
      </c>
      <c r="V62" s="14">
        <f>V44*Inputs!$H46</f>
        <v>1194.6148429916113</v>
      </c>
      <c r="W62" s="14">
        <f>W44*Inputs!$H46</f>
        <v>1198.939191389441</v>
      </c>
      <c r="X62" s="188">
        <f>X44*Inputs!$H46</f>
        <v>1188.7851004278903</v>
      </c>
      <c r="Y62" s="14">
        <f>Y44*Inputs!$H46</f>
        <v>1195.5981326193964</v>
      </c>
      <c r="Z62" s="14">
        <f>Z44*Inputs!$H46</f>
        <v>1192.0653640749122</v>
      </c>
      <c r="AA62" s="14">
        <f>AA44*Inputs!$H46</f>
        <v>1194.3119241424397</v>
      </c>
      <c r="AB62" s="14">
        <f>AB44*Inputs!$H46</f>
        <v>1202.630288337135</v>
      </c>
      <c r="AC62" s="14">
        <f>AC44*Inputs!$H46</f>
        <v>1208.0915304005709</v>
      </c>
      <c r="AD62" s="14">
        <f>AD44*Inputs!$H46</f>
        <v>1214.9773551166779</v>
      </c>
      <c r="AE62" s="14">
        <f>AE44*Inputs!$H46</f>
        <v>1220.8021868269036</v>
      </c>
      <c r="AF62" s="14">
        <f>AF44*Inputs!$H46</f>
        <v>1218.9448274395859</v>
      </c>
      <c r="AG62" s="14">
        <f>AG44*Inputs!$H46</f>
        <v>1225.3650535141385</v>
      </c>
      <c r="AH62" s="14">
        <f>AH44*Inputs!$H46</f>
        <v>1230.938872231761</v>
      </c>
    </row>
    <row r="63" spans="1:34" ht="15">
      <c r="A63" s="8" t="s">
        <v>50</v>
      </c>
      <c r="B63" s="34">
        <v>1</v>
      </c>
      <c r="C63" s="336">
        <f>C45*Inputs!$H49</f>
        <v>0</v>
      </c>
      <c r="D63" s="336">
        <f>D45*Inputs!$H49</f>
        <v>0</v>
      </c>
      <c r="E63" s="336">
        <f>E45*Inputs!$H49</f>
        <v>0</v>
      </c>
      <c r="F63" s="336">
        <f>F45*Inputs!$H49</f>
        <v>0</v>
      </c>
      <c r="G63" s="336">
        <f>G45*Inputs!$H49</f>
        <v>0</v>
      </c>
      <c r="H63" s="14">
        <f>H45*Inputs!$H49</f>
        <v>0</v>
      </c>
      <c r="I63" s="14">
        <f>I45*Inputs!$H49</f>
        <v>0</v>
      </c>
      <c r="J63" s="14">
        <f>J45*Inputs!$H49</f>
        <v>0</v>
      </c>
      <c r="K63" s="14">
        <f>K45*Inputs!$H49</f>
        <v>0</v>
      </c>
      <c r="L63" s="14">
        <f>L45*Inputs!$H49</f>
        <v>0</v>
      </c>
      <c r="M63" s="14">
        <f>M45*Inputs!$H49</f>
        <v>0</v>
      </c>
      <c r="N63" s="191">
        <f>N45*Inputs!$H49</f>
        <v>0</v>
      </c>
      <c r="O63" s="14">
        <f>O45*Inputs!$H49</f>
        <v>0</v>
      </c>
      <c r="P63" s="14">
        <f>P45*Inputs!$H49</f>
        <v>0</v>
      </c>
      <c r="Q63" s="14">
        <f>Q45*Inputs!$H49</f>
        <v>0</v>
      </c>
      <c r="R63" s="14">
        <f>R45*Inputs!$H49</f>
        <v>0</v>
      </c>
      <c r="S63" s="14">
        <f>S45*Inputs!$H49</f>
        <v>0</v>
      </c>
      <c r="T63" s="14">
        <f>T45*Inputs!$H49</f>
        <v>0</v>
      </c>
      <c r="U63" s="14">
        <f>U45*Inputs!$H49</f>
        <v>0</v>
      </c>
      <c r="V63" s="14">
        <f>V45*Inputs!$H49</f>
        <v>0</v>
      </c>
      <c r="W63" s="14">
        <f>W45*Inputs!$H49</f>
        <v>0</v>
      </c>
      <c r="X63" s="188">
        <f>X45*Inputs!$H49</f>
        <v>0</v>
      </c>
      <c r="Y63" s="14">
        <f>Y45*Inputs!$H49</f>
        <v>0</v>
      </c>
      <c r="Z63" s="14">
        <f>Z45*Inputs!$H49</f>
        <v>0</v>
      </c>
      <c r="AA63" s="14">
        <f>AA45*Inputs!$H49</f>
        <v>0</v>
      </c>
      <c r="AB63" s="14">
        <f>AB45*Inputs!$H49</f>
        <v>0</v>
      </c>
      <c r="AC63" s="14">
        <f>AC45*Inputs!$H49</f>
        <v>0</v>
      </c>
      <c r="AD63" s="14">
        <f>AD45*Inputs!$H49</f>
        <v>0</v>
      </c>
      <c r="AE63" s="14">
        <f>AE45*Inputs!$H49</f>
        <v>0</v>
      </c>
      <c r="AF63" s="14">
        <f>AF45*Inputs!$H49</f>
        <v>0</v>
      </c>
      <c r="AG63" s="14">
        <f>AG45*Inputs!$H49</f>
        <v>0</v>
      </c>
      <c r="AH63" s="14">
        <f>AH45*Inputs!$H49</f>
        <v>0</v>
      </c>
    </row>
    <row r="64" spans="1:34" ht="15">
      <c r="A64" s="8" t="s">
        <v>51</v>
      </c>
      <c r="B64" s="34">
        <v>1</v>
      </c>
      <c r="C64" s="336">
        <f>C46*Inputs!$H52</f>
        <v>93.825000000000003</v>
      </c>
      <c r="D64" s="336">
        <f>D46*Inputs!$H52</f>
        <v>108.27</v>
      </c>
      <c r="E64" s="336">
        <f>E46*Inputs!$H52</f>
        <v>133.02379607787873</v>
      </c>
      <c r="F64" s="336">
        <f>F46*Inputs!$H52</f>
        <v>157.19864427545778</v>
      </c>
      <c r="G64" s="336">
        <f>G46*Inputs!$H52</f>
        <v>115.07620997106702</v>
      </c>
      <c r="H64" s="14">
        <f>H46*Inputs!$H52</f>
        <v>122.21403740365874</v>
      </c>
      <c r="I64" s="14">
        <f>I46*Inputs!$H52</f>
        <v>122.27947653415089</v>
      </c>
      <c r="J64" s="14">
        <f>J46*Inputs!$H52</f>
        <v>123.44301115293312</v>
      </c>
      <c r="K64" s="14">
        <f>K46*Inputs!$H52</f>
        <v>123.88950657883453</v>
      </c>
      <c r="L64" s="14">
        <f>L46*Inputs!$H52</f>
        <v>123.9399557031318</v>
      </c>
      <c r="M64" s="14">
        <f>M46*Inputs!$H52</f>
        <v>123.85797587614876</v>
      </c>
      <c r="N64" s="191">
        <f>N46*Inputs!$H52</f>
        <v>123.59683963029855</v>
      </c>
      <c r="O64" s="14">
        <f>O46*Inputs!$H52</f>
        <v>123.44094356587178</v>
      </c>
      <c r="P64" s="14">
        <f>P46*Inputs!$H52</f>
        <v>123.30861799394448</v>
      </c>
      <c r="Q64" s="14">
        <f>Q46*Inputs!$H52</f>
        <v>123.1845627702627</v>
      </c>
      <c r="R64" s="14">
        <f>R46*Inputs!$H52</f>
        <v>123.06123120205238</v>
      </c>
      <c r="S64" s="14">
        <f>S46*Inputs!$H52</f>
        <v>122.91598321099157</v>
      </c>
      <c r="T64" s="14">
        <f>T46*Inputs!$H52</f>
        <v>122.75398776473378</v>
      </c>
      <c r="U64" s="14">
        <f>U46*Inputs!$H52</f>
        <v>122.58971797270844</v>
      </c>
      <c r="V64" s="14">
        <f>V46*Inputs!$H52</f>
        <v>122.33809262734053</v>
      </c>
      <c r="W64" s="14">
        <f>W46*Inputs!$H52</f>
        <v>122.1414650978049</v>
      </c>
      <c r="X64" s="188">
        <f>X46*Inputs!$H52</f>
        <v>121.87112808953161</v>
      </c>
      <c r="Y64" s="14">
        <f>Y46*Inputs!$H52</f>
        <v>121.60575329020563</v>
      </c>
      <c r="Z64" s="14">
        <f>Z46*Inputs!$H52</f>
        <v>121.33810414511211</v>
      </c>
      <c r="AA64" s="14">
        <f>AA46*Inputs!$H52</f>
        <v>121.08058617661933</v>
      </c>
      <c r="AB64" s="14">
        <f>AB46*Inputs!$H52</f>
        <v>120.8552191869307</v>
      </c>
      <c r="AC64" s="14">
        <f>AC46*Inputs!$H52</f>
        <v>120.61300136269199</v>
      </c>
      <c r="AD64" s="14">
        <f>AD46*Inputs!$H52</f>
        <v>120.39786892895712</v>
      </c>
      <c r="AE64" s="14">
        <f>AE46*Inputs!$H52</f>
        <v>120.20423940066046</v>
      </c>
      <c r="AF64" s="14">
        <f>AF46*Inputs!$H52</f>
        <v>120.02963167332832</v>
      </c>
      <c r="AG64" s="14">
        <f>AG46*Inputs!$H52</f>
        <v>119.8462367009854</v>
      </c>
      <c r="AH64" s="14">
        <f>AH46*Inputs!$H52</f>
        <v>119.66490931570381</v>
      </c>
    </row>
    <row r="65" spans="1:34" ht="15">
      <c r="A65" s="8" t="s">
        <v>347</v>
      </c>
      <c r="B65" s="34">
        <v>1</v>
      </c>
      <c r="C65" s="336">
        <f>C47*Inputs!$H54</f>
        <v>0</v>
      </c>
      <c r="D65" s="336">
        <f>D47*Inputs!$H54</f>
        <v>0</v>
      </c>
      <c r="E65" s="336">
        <f>E47*Inputs!$H54</f>
        <v>0.14220000000000002</v>
      </c>
      <c r="F65" s="336">
        <f>F47*Inputs!$H54</f>
        <v>0.14220000000000002</v>
      </c>
      <c r="G65" s="336">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1">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8">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6">
        <f>C48*Inputs!$H55</f>
        <v>0</v>
      </c>
      <c r="D66" s="336">
        <f>D48*Inputs!$H55</f>
        <v>0</v>
      </c>
      <c r="E66" s="336">
        <f>E48*Inputs!$H55</f>
        <v>2.0700000000000003E-2</v>
      </c>
      <c r="F66" s="336">
        <f>F48*Inputs!$H55</f>
        <v>2.0700000000000003E-2</v>
      </c>
      <c r="G66" s="336">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1">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8">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6">
        <f>C49*Inputs!$H51</f>
        <v>2.4300000000000003E-3</v>
      </c>
      <c r="D67" s="336">
        <f>D49*Inputs!$H51</f>
        <v>2.4300000000000003E-3</v>
      </c>
      <c r="E67" s="336">
        <f>E49*Inputs!$H51</f>
        <v>2.4300000000000003E-3</v>
      </c>
      <c r="F67" s="336">
        <f>F49*Inputs!$H51</f>
        <v>2.4300000000000003E-3</v>
      </c>
      <c r="G67" s="33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1">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8">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6">
        <f>C50*Inputs!$H57</f>
        <v>0</v>
      </c>
      <c r="D68" s="336">
        <f>D50*Inputs!$H57</f>
        <v>0</v>
      </c>
      <c r="E68" s="336">
        <f>E50*Inputs!$H57</f>
        <v>0</v>
      </c>
      <c r="F68" s="336">
        <f>F50*Inputs!$H57</f>
        <v>0</v>
      </c>
      <c r="G68" s="336">
        <f>G50*Inputs!$H57</f>
        <v>0</v>
      </c>
      <c r="H68" s="14">
        <f>H50*Inputs!$H57</f>
        <v>0</v>
      </c>
      <c r="I68" s="14">
        <f>I50*Inputs!$H57</f>
        <v>0</v>
      </c>
      <c r="J68" s="14">
        <f>J50*Inputs!$H57</f>
        <v>0</v>
      </c>
      <c r="K68" s="14">
        <f>K50*Inputs!$H57</f>
        <v>0</v>
      </c>
      <c r="L68" s="14">
        <f>L50*Inputs!$H57</f>
        <v>0</v>
      </c>
      <c r="M68" s="14">
        <f>M50*Inputs!$H57</f>
        <v>0</v>
      </c>
      <c r="N68" s="191">
        <f>N50*Inputs!$H57</f>
        <v>0</v>
      </c>
      <c r="O68" s="14">
        <f>O50*Inputs!$H57</f>
        <v>0</v>
      </c>
      <c r="P68" s="14">
        <f>P50*Inputs!$H57</f>
        <v>0</v>
      </c>
      <c r="Q68" s="14">
        <f>Q50*Inputs!$H57</f>
        <v>0</v>
      </c>
      <c r="R68" s="14">
        <f>R50*Inputs!$H57</f>
        <v>0</v>
      </c>
      <c r="S68" s="14">
        <f>S50*Inputs!$H57</f>
        <v>0</v>
      </c>
      <c r="T68" s="14">
        <f>T50*Inputs!$H57</f>
        <v>0</v>
      </c>
      <c r="U68" s="14">
        <f>U50*Inputs!$H57</f>
        <v>0</v>
      </c>
      <c r="V68" s="14">
        <f>V50*Inputs!$H57</f>
        <v>0</v>
      </c>
      <c r="W68" s="14">
        <f>W50*Inputs!$H57</f>
        <v>0</v>
      </c>
      <c r="X68" s="188">
        <f>X50*Inputs!$H57</f>
        <v>0</v>
      </c>
      <c r="Y68" s="14">
        <f>Y50*Inputs!$H57</f>
        <v>0</v>
      </c>
      <c r="Z68" s="14">
        <f>Z50*Inputs!$H57</f>
        <v>0</v>
      </c>
      <c r="AA68" s="14">
        <f>AA50*Inputs!$H57</f>
        <v>0</v>
      </c>
      <c r="AB68" s="14">
        <f>AB50*Inputs!$H57</f>
        <v>0</v>
      </c>
      <c r="AC68" s="14">
        <f>AC50*Inputs!$H57</f>
        <v>0</v>
      </c>
      <c r="AD68" s="14">
        <f>AD50*Inputs!$H57</f>
        <v>0</v>
      </c>
      <c r="AE68" s="14">
        <f>AE50*Inputs!$H57</f>
        <v>0</v>
      </c>
      <c r="AF68" s="14">
        <f>AF50*Inputs!$H57</f>
        <v>0</v>
      </c>
      <c r="AG68" s="14">
        <f>AG50*Inputs!$H57</f>
        <v>0</v>
      </c>
      <c r="AH68" s="14">
        <f>AH50*Inputs!$H57</f>
        <v>0</v>
      </c>
    </row>
    <row r="69" spans="1:34" s="20" customFormat="1" ht="15">
      <c r="A69" s="8" t="s">
        <v>128</v>
      </c>
      <c r="B69" s="38"/>
      <c r="C69" s="339">
        <f t="shared" ref="C69:AH69" si="25">SUMPRODUCT($B60:$B68,C60:C68)</f>
        <v>416.63943</v>
      </c>
      <c r="D69" s="339">
        <f t="shared" si="25"/>
        <v>373.62842999999998</v>
      </c>
      <c r="E69" s="339">
        <f t="shared" si="25"/>
        <v>456.31389952702818</v>
      </c>
      <c r="F69" s="339">
        <f t="shared" si="25"/>
        <v>497.93259664296232</v>
      </c>
      <c r="G69" s="339">
        <f t="shared" si="25"/>
        <v>499.69093834266488</v>
      </c>
      <c r="H69" s="19">
        <f t="shared" si="25"/>
        <v>512.21398285356304</v>
      </c>
      <c r="I69" s="19">
        <f t="shared" si="25"/>
        <v>520.60263486954352</v>
      </c>
      <c r="J69" s="19">
        <f t="shared" si="25"/>
        <v>755.09194619289428</v>
      </c>
      <c r="K69" s="19">
        <f t="shared" si="25"/>
        <v>688.88684607026221</v>
      </c>
      <c r="L69" s="19">
        <f t="shared" si="25"/>
        <v>707.06437437584179</v>
      </c>
      <c r="M69" s="19">
        <f t="shared" si="25"/>
        <v>776.39538166683678</v>
      </c>
      <c r="N69" s="191">
        <f t="shared" si="25"/>
        <v>958.00813977324538</v>
      </c>
      <c r="O69" s="19">
        <f t="shared" si="25"/>
        <v>1237.9706217269197</v>
      </c>
      <c r="P69" s="19">
        <f t="shared" si="25"/>
        <v>1259.5581308886497</v>
      </c>
      <c r="Q69" s="19">
        <f t="shared" si="25"/>
        <v>1302.9697243449077</v>
      </c>
      <c r="R69" s="19">
        <f t="shared" si="25"/>
        <v>1310.1715213112111</v>
      </c>
      <c r="S69" s="19">
        <f t="shared" si="25"/>
        <v>1321.0718395979275</v>
      </c>
      <c r="T69" s="19">
        <f t="shared" si="25"/>
        <v>1322.145203538</v>
      </c>
      <c r="U69" s="19">
        <f t="shared" si="25"/>
        <v>1311.838342884382</v>
      </c>
      <c r="V69" s="19">
        <f t="shared" si="25"/>
        <v>1317.1182656189519</v>
      </c>
      <c r="W69" s="19">
        <f t="shared" si="25"/>
        <v>1321.245986487246</v>
      </c>
      <c r="X69" s="183">
        <f t="shared" si="25"/>
        <v>1310.8215585174219</v>
      </c>
      <c r="Y69" s="19">
        <f t="shared" si="25"/>
        <v>1317.3692159096022</v>
      </c>
      <c r="Z69" s="19">
        <f t="shared" si="25"/>
        <v>1313.5687982200243</v>
      </c>
      <c r="AA69" s="19">
        <f t="shared" si="25"/>
        <v>1315.5578403190591</v>
      </c>
      <c r="AB69" s="19">
        <f t="shared" si="25"/>
        <v>1323.6508375240658</v>
      </c>
      <c r="AC69" s="19">
        <f t="shared" si="25"/>
        <v>1328.8698617632629</v>
      </c>
      <c r="AD69" s="19">
        <f t="shared" si="25"/>
        <v>1335.5405540456352</v>
      </c>
      <c r="AE69" s="19">
        <f t="shared" si="25"/>
        <v>1341.1717562275642</v>
      </c>
      <c r="AF69" s="19">
        <f t="shared" si="25"/>
        <v>1339.1397891129143</v>
      </c>
      <c r="AG69" s="19">
        <f t="shared" si="25"/>
        <v>1345.3766202151239</v>
      </c>
      <c r="AH69" s="19">
        <f t="shared" si="25"/>
        <v>1350.6269115474649</v>
      </c>
    </row>
    <row r="70" spans="1:34" s="20" customFormat="1" ht="15">
      <c r="A70" s="27" t="s">
        <v>329</v>
      </c>
      <c r="B70" s="39"/>
      <c r="C70" s="339">
        <f>SUM(C58:C68)</f>
        <v>4171.0150800000001</v>
      </c>
      <c r="D70" s="339">
        <f t="shared" ref="D70:AH70" si="26">SUM(D58:D68)</f>
        <v>3924.1990800000003</v>
      </c>
      <c r="E70" s="339">
        <f t="shared" si="26"/>
        <v>4042.2778348004276</v>
      </c>
      <c r="F70" s="339">
        <f t="shared" si="26"/>
        <v>4085.4909252585621</v>
      </c>
      <c r="G70" s="339">
        <f t="shared" si="26"/>
        <v>4106.7493670790655</v>
      </c>
      <c r="H70" s="19">
        <f t="shared" si="26"/>
        <v>4129.5984887115628</v>
      </c>
      <c r="I70" s="19">
        <f t="shared" si="26"/>
        <v>4233.9336210929432</v>
      </c>
      <c r="J70" s="19">
        <f t="shared" si="26"/>
        <v>4501.2734925762934</v>
      </c>
      <c r="K70" s="19">
        <f t="shared" si="26"/>
        <v>4602.9600681704624</v>
      </c>
      <c r="L70" s="19">
        <f t="shared" si="26"/>
        <v>4784.2311960124416</v>
      </c>
      <c r="M70" s="19">
        <f t="shared" si="26"/>
        <v>4995.3072645318362</v>
      </c>
      <c r="N70" s="183">
        <f t="shared" si="26"/>
        <v>5209.5369558878465</v>
      </c>
      <c r="O70" s="19">
        <f t="shared" si="26"/>
        <v>5489.4999009167195</v>
      </c>
      <c r="P70" s="19">
        <f t="shared" si="26"/>
        <v>5511.0869470032503</v>
      </c>
      <c r="Q70" s="19">
        <f t="shared" si="26"/>
        <v>5554.4990035347073</v>
      </c>
      <c r="R70" s="19">
        <f t="shared" si="26"/>
        <v>5561.7008005010111</v>
      </c>
      <c r="S70" s="19">
        <f t="shared" si="26"/>
        <v>5572.6006557125284</v>
      </c>
      <c r="T70" s="19">
        <f t="shared" si="26"/>
        <v>5573.6881723883998</v>
      </c>
      <c r="U70" s="19">
        <f t="shared" si="26"/>
        <v>5563.3671589989817</v>
      </c>
      <c r="V70" s="19">
        <f t="shared" si="26"/>
        <v>5568.6470817335521</v>
      </c>
      <c r="W70" s="19">
        <f t="shared" si="26"/>
        <v>5572.7748026018462</v>
      </c>
      <c r="X70" s="183">
        <f t="shared" si="26"/>
        <v>5562.3508377072212</v>
      </c>
      <c r="Y70" s="19">
        <f t="shared" si="26"/>
        <v>5568.8980320242035</v>
      </c>
      <c r="Z70" s="19">
        <f t="shared" si="26"/>
        <v>5567.0244788098244</v>
      </c>
      <c r="AA70" s="19">
        <f t="shared" si="26"/>
        <v>5569.0135209088594</v>
      </c>
      <c r="AB70" s="19">
        <f t="shared" si="26"/>
        <v>5577.1065181138647</v>
      </c>
      <c r="AC70" s="19">
        <f t="shared" si="26"/>
        <v>5582.3255423530627</v>
      </c>
      <c r="AD70" s="19">
        <f t="shared" si="26"/>
        <v>5609.661978412435</v>
      </c>
      <c r="AE70" s="19">
        <f t="shared" si="26"/>
        <v>5620.3842004009639</v>
      </c>
      <c r="AF70" s="19">
        <f t="shared" si="26"/>
        <v>5618.3517991533145</v>
      </c>
      <c r="AG70" s="19">
        <f t="shared" si="26"/>
        <v>5647.1533586011237</v>
      </c>
      <c r="AH70" s="19">
        <f t="shared" si="26"/>
        <v>5657.1683174928639</v>
      </c>
    </row>
    <row r="71" spans="1:34" s="20" customFormat="1" ht="15">
      <c r="A71" s="27" t="s">
        <v>142</v>
      </c>
      <c r="B71" s="39"/>
      <c r="C71" s="339">
        <f>C53*Inputs!$H$60</f>
        <v>2534.3009999999999</v>
      </c>
      <c r="D71" s="339">
        <f>D53*Inputs!$H$60</f>
        <v>2520.4410000000003</v>
      </c>
      <c r="E71" s="339">
        <f>E53*Inputs!$H$60</f>
        <v>2509.8530737289016</v>
      </c>
      <c r="F71" s="339">
        <f>F53*Inputs!$H$60</f>
        <v>2041.6836852586628</v>
      </c>
      <c r="G71" s="339">
        <f>G53*Inputs!$H$60</f>
        <v>2093.1881198375745</v>
      </c>
      <c r="H71" s="19">
        <f>H53*Inputs!$H$60</f>
        <v>2381.7006390073561</v>
      </c>
      <c r="I71" s="19">
        <f>I53*Inputs!$H$60</f>
        <v>2202.0351108608497</v>
      </c>
      <c r="J71" s="19">
        <f>J53*Inputs!$H$60</f>
        <v>2044.7991674903553</v>
      </c>
      <c r="K71" s="19">
        <f>K53*Inputs!$H$60</f>
        <v>2229.1408087691848</v>
      </c>
      <c r="L71" s="19">
        <f>L53*Inputs!$H$60</f>
        <v>2426.2921619466742</v>
      </c>
      <c r="M71" s="19">
        <f>M53*Inputs!$H$60</f>
        <v>2454.2486335125573</v>
      </c>
      <c r="N71" s="191">
        <f>N53*Inputs!$H$60</f>
        <v>2398.5765408073007</v>
      </c>
      <c r="O71" s="19">
        <f>O53*Inputs!$H$60</f>
        <v>2426.9601540894446</v>
      </c>
      <c r="P71" s="19">
        <f>P53*Inputs!$H$60</f>
        <v>2461.085549066438</v>
      </c>
      <c r="Q71" s="19">
        <f>Q53*Inputs!$H$60</f>
        <v>2474.9588278659603</v>
      </c>
      <c r="R71" s="19">
        <f>R53*Inputs!$H$60</f>
        <v>2506.7369399820936</v>
      </c>
      <c r="S71" s="19">
        <f>S53*Inputs!$H$60</f>
        <v>2530.9027074573955</v>
      </c>
      <c r="T71" s="19">
        <f>T53*Inputs!$H$60</f>
        <v>2530.7021248683386</v>
      </c>
      <c r="U71" s="19">
        <f>U53*Inputs!$H$60</f>
        <v>2540.7494336945847</v>
      </c>
      <c r="V71" s="19">
        <f>V53*Inputs!$H$60</f>
        <v>2538.5322016573928</v>
      </c>
      <c r="W71" s="19">
        <f>W53*Inputs!$H$60</f>
        <v>2546.7272319941189</v>
      </c>
      <c r="X71" s="183">
        <f>X53*Inputs!$H$60</f>
        <v>2552.5913303977186</v>
      </c>
      <c r="Y71" s="19">
        <f>Y53*Inputs!$H$60</f>
        <v>2552.4659452629417</v>
      </c>
      <c r="Z71" s="19">
        <f>Z53*Inputs!$H$60</f>
        <v>2558.3066311556227</v>
      </c>
      <c r="AA71" s="19">
        <f>AA53*Inputs!$H$60</f>
        <v>2560.4440210662606</v>
      </c>
      <c r="AB71" s="19">
        <f>AB53*Inputs!$H$60</f>
        <v>2564.0060643679749</v>
      </c>
      <c r="AC71" s="19">
        <f>AC53*Inputs!$H$60</f>
        <v>2563.2740976442014</v>
      </c>
      <c r="AD71" s="19">
        <f>AD53*Inputs!$H$60</f>
        <v>2565.6059753250765</v>
      </c>
      <c r="AE71" s="19">
        <f>AE53*Inputs!$H$60</f>
        <v>2563.9566753189092</v>
      </c>
      <c r="AF71" s="19">
        <f>AF53*Inputs!$H$60</f>
        <v>2565.142579945139</v>
      </c>
      <c r="AG71" s="19">
        <f>AG53*Inputs!$H$60</f>
        <v>2564.5191640462276</v>
      </c>
      <c r="AH71" s="19">
        <f>AH53*Inputs!$H$60</f>
        <v>2562.9510091968446</v>
      </c>
    </row>
    <row r="72" spans="1:34" s="20" customFormat="1" ht="15">
      <c r="A72" s="27" t="s">
        <v>222</v>
      </c>
      <c r="B72" s="39"/>
      <c r="C72" s="339">
        <f>C54*Inputs!$H$61</f>
        <v>1207.8989999999999</v>
      </c>
      <c r="D72" s="339">
        <f>D54*Inputs!$H$61</f>
        <v>1682.9010000000001</v>
      </c>
      <c r="E72" s="339">
        <f>E54*Inputs!$H$61</f>
        <v>1966.8714598190818</v>
      </c>
      <c r="F72" s="339">
        <f>F54*Inputs!$H$61</f>
        <v>2715.0758527288181</v>
      </c>
      <c r="G72" s="339">
        <f>G54*Inputs!$H$61</f>
        <v>2314.2182215029939</v>
      </c>
      <c r="H72" s="19">
        <f>H54*Inputs!$H$61</f>
        <v>2078.2689239647361</v>
      </c>
      <c r="I72" s="19">
        <f>I54*Inputs!$H$61</f>
        <v>2607.73426856884</v>
      </c>
      <c r="J72" s="19">
        <f>J54*Inputs!$H$61</f>
        <v>2839.2970193947385</v>
      </c>
      <c r="K72" s="19">
        <f>K54*Inputs!$H$61</f>
        <v>2798.7972255203754</v>
      </c>
      <c r="L72" s="19">
        <f>L54*Inputs!$H$61</f>
        <v>2401.7869242823449</v>
      </c>
      <c r="M72" s="19">
        <f>M54*Inputs!$H$61</f>
        <v>2299.7551322178851</v>
      </c>
      <c r="N72" s="191">
        <f>N54*Inputs!$H$61</f>
        <v>2506.2903906563197</v>
      </c>
      <c r="O72" s="19">
        <f>O54*Inputs!$H$61</f>
        <v>2500.6629924468252</v>
      </c>
      <c r="P72" s="19">
        <f>P54*Inputs!$H$61</f>
        <v>2704.0741989710928</v>
      </c>
      <c r="Q72" s="19">
        <f>Q54*Inputs!$H$61</f>
        <v>2752.6813681825438</v>
      </c>
      <c r="R72" s="19">
        <f>R54*Inputs!$H$61</f>
        <v>2933.9711152914201</v>
      </c>
      <c r="S72" s="19">
        <f>S54*Inputs!$H$61</f>
        <v>3032.2528789327444</v>
      </c>
      <c r="T72" s="19">
        <f>T54*Inputs!$H$61</f>
        <v>3111.1250794518874</v>
      </c>
      <c r="U72" s="19">
        <f>U54*Inputs!$H$61</f>
        <v>3452.7031084388104</v>
      </c>
      <c r="V72" s="19">
        <f>V54*Inputs!$H$61</f>
        <v>3561.1406179399369</v>
      </c>
      <c r="W72" s="19">
        <f>W54*Inputs!$H$61</f>
        <v>3765.5596373146332</v>
      </c>
      <c r="X72" s="183">
        <f>X54*Inputs!$H$61</f>
        <v>3928.8034425578985</v>
      </c>
      <c r="Y72" s="19">
        <f>Y54*Inputs!$H$61</f>
        <v>3905.4930009358304</v>
      </c>
      <c r="Z72" s="19">
        <f>Z54*Inputs!$H$61</f>
        <v>3949.8255715438295</v>
      </c>
      <c r="AA72" s="19">
        <f>AA54*Inputs!$H$61</f>
        <v>4053.4925989640919</v>
      </c>
      <c r="AB72" s="19">
        <f>AB54*Inputs!$H$61</f>
        <v>4222.1830062209683</v>
      </c>
      <c r="AC72" s="19">
        <f>AC54*Inputs!$H$61</f>
        <v>4259.9571901587815</v>
      </c>
      <c r="AD72" s="19">
        <f>AD54*Inputs!$H$61</f>
        <v>4328.2667600872937</v>
      </c>
      <c r="AE72" s="19">
        <f>AE54*Inputs!$H$61</f>
        <v>4419.9974136855099</v>
      </c>
      <c r="AF72" s="19">
        <f>AF54*Inputs!$H$61</f>
        <v>4486.7731545868701</v>
      </c>
      <c r="AG72" s="19">
        <f>AG54*Inputs!$H$61</f>
        <v>4730.3653361003444</v>
      </c>
      <c r="AH72" s="19">
        <f>AH54*Inputs!$H$61</f>
        <v>4932.6815035393265</v>
      </c>
    </row>
    <row r="73" spans="1:34" ht="15">
      <c r="A73" s="27" t="s">
        <v>58</v>
      </c>
      <c r="C73" s="336">
        <f>SUM(C70:C72)</f>
        <v>7913.2150799999999</v>
      </c>
      <c r="D73" s="336">
        <f t="shared" ref="D73:AH73" si="27">SUM(D70:D72)</f>
        <v>8127.5410800000009</v>
      </c>
      <c r="E73" s="336">
        <f t="shared" si="27"/>
        <v>8519.0023683484105</v>
      </c>
      <c r="F73" s="336">
        <f t="shared" si="27"/>
        <v>8842.2504632460441</v>
      </c>
      <c r="G73" s="336">
        <f t="shared" si="27"/>
        <v>8514.1557084196338</v>
      </c>
      <c r="H73" s="14">
        <f t="shared" si="27"/>
        <v>8589.5680516836546</v>
      </c>
      <c r="I73" s="14">
        <f t="shared" si="27"/>
        <v>9043.7030005226334</v>
      </c>
      <c r="J73" s="14">
        <f t="shared" si="27"/>
        <v>9385.3696794613861</v>
      </c>
      <c r="K73" s="14">
        <f t="shared" si="27"/>
        <v>9630.8981024600216</v>
      </c>
      <c r="L73" s="14">
        <f t="shared" si="27"/>
        <v>9612.3102822414603</v>
      </c>
      <c r="M73" s="14">
        <f t="shared" si="27"/>
        <v>9749.3110302622772</v>
      </c>
      <c r="N73" s="191">
        <f t="shared" si="27"/>
        <v>10114.403887351466</v>
      </c>
      <c r="O73" s="14">
        <f t="shared" si="27"/>
        <v>10417.123047452989</v>
      </c>
      <c r="P73" s="14">
        <f t="shared" si="27"/>
        <v>10676.246695040782</v>
      </c>
      <c r="Q73" s="14">
        <f t="shared" si="27"/>
        <v>10782.139199583211</v>
      </c>
      <c r="R73" s="14">
        <f t="shared" si="27"/>
        <v>11002.408855774525</v>
      </c>
      <c r="S73" s="14">
        <f t="shared" si="27"/>
        <v>11135.756242102669</v>
      </c>
      <c r="T73" s="14">
        <f t="shared" si="27"/>
        <v>11215.515376708627</v>
      </c>
      <c r="U73" s="14">
        <f t="shared" si="27"/>
        <v>11556.819701132377</v>
      </c>
      <c r="V73" s="14">
        <f t="shared" si="27"/>
        <v>11668.319901330882</v>
      </c>
      <c r="W73" s="14">
        <f t="shared" si="27"/>
        <v>11885.061671910598</v>
      </c>
      <c r="X73" s="188">
        <f t="shared" si="27"/>
        <v>12043.745610662838</v>
      </c>
      <c r="Y73" s="14">
        <f t="shared" si="27"/>
        <v>12026.856978222975</v>
      </c>
      <c r="Z73" s="14">
        <f t="shared" si="27"/>
        <v>12075.156681509277</v>
      </c>
      <c r="AA73" s="14">
        <f t="shared" si="27"/>
        <v>12182.950140939212</v>
      </c>
      <c r="AB73" s="14">
        <f t="shared" si="27"/>
        <v>12363.295588702807</v>
      </c>
      <c r="AC73" s="14">
        <f t="shared" si="27"/>
        <v>12405.556830156045</v>
      </c>
      <c r="AD73" s="14">
        <f t="shared" si="27"/>
        <v>12503.534713824805</v>
      </c>
      <c r="AE73" s="14">
        <f t="shared" si="27"/>
        <v>12604.338289405383</v>
      </c>
      <c r="AF73" s="14">
        <f t="shared" si="27"/>
        <v>12670.267533685324</v>
      </c>
      <c r="AG73" s="14">
        <f t="shared" si="27"/>
        <v>12942.037858747695</v>
      </c>
      <c r="AH73" s="14">
        <f t="shared" si="27"/>
        <v>13152.800830229035</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40">
        <f>'backup - EIA liq_fuelS_aeo2014'!E46</f>
        <v>273.77869168296451</v>
      </c>
      <c r="D78" s="340">
        <f>'backup - EIA liq_fuelS_aeo2014'!F46</f>
        <v>330.59007454663532</v>
      </c>
      <c r="E78" s="340">
        <f>'backup - EIA liq_fuelS_aeo2014'!G46</f>
        <v>346.41273999999999</v>
      </c>
      <c r="F78" s="340">
        <f>'backup - EIA liq_fuelS_aeo2014'!H46</f>
        <v>332.23648773503913</v>
      </c>
      <c r="G78" s="34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6">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7">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5" t="e">
        <f>C78*Inputs!$C58</f>
        <v>#REF!</v>
      </c>
      <c r="D83" s="335" t="e">
        <f>D78*Inputs!$C58</f>
        <v>#REF!</v>
      </c>
      <c r="E83" s="335" t="e">
        <f>E78*Inputs!$C58</f>
        <v>#REF!</v>
      </c>
      <c r="F83" s="335" t="e">
        <f>F78*Inputs!$C58</f>
        <v>#REF!</v>
      </c>
      <c r="G83" s="335" t="e">
        <f>G78*Inputs!$C58</f>
        <v>#REF!</v>
      </c>
      <c r="H83" s="50" t="e">
        <f>H78*Inputs!$C58</f>
        <v>#REF!</v>
      </c>
      <c r="I83" s="50" t="e">
        <f>I78*Inputs!$C58</f>
        <v>#REF!</v>
      </c>
      <c r="J83" s="50" t="e">
        <f>J78*Inputs!$C58</f>
        <v>#REF!</v>
      </c>
      <c r="K83" s="50" t="e">
        <f>K78*Inputs!$C58</f>
        <v>#REF!</v>
      </c>
      <c r="L83" s="50" t="e">
        <f>L78*Inputs!$C58</f>
        <v>#REF!</v>
      </c>
      <c r="M83" s="50" t="e">
        <f>M78*Inputs!$C58</f>
        <v>#REF!</v>
      </c>
      <c r="N83" s="394"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23" customWidth="1"/>
    <col min="6" max="6" width="9" style="423" customWidth="1"/>
    <col min="7" max="7" width="9.6640625" style="81" customWidth="1"/>
    <col min="8" max="8" width="10.83203125" style="423" customWidth="1"/>
    <col min="9" max="9" width="5.6640625" style="423" bestFit="1" customWidth="1"/>
    <col min="10" max="10" width="9.33203125" style="423" customWidth="1"/>
    <col min="11" max="11" width="6.5" style="423" customWidth="1"/>
    <col min="12" max="12" width="9.6640625" style="423" customWidth="1"/>
    <col min="13" max="13" width="5.6640625" style="423"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3"/>
      <c r="B1" s="533"/>
      <c r="C1" s="533"/>
      <c r="D1" s="533"/>
      <c r="E1" s="533"/>
      <c r="F1" s="533"/>
      <c r="G1" s="533"/>
      <c r="H1" s="533"/>
      <c r="I1" s="533"/>
      <c r="J1" s="533"/>
      <c r="K1" s="533"/>
      <c r="L1" s="533"/>
      <c r="M1" s="533"/>
      <c r="N1" s="533"/>
      <c r="O1" s="533"/>
      <c r="P1" s="533"/>
    </row>
    <row r="2" spans="1:16">
      <c r="A2" s="533"/>
      <c r="B2" s="533"/>
      <c r="C2" s="533"/>
      <c r="D2" s="533"/>
      <c r="E2" s="533"/>
      <c r="F2" s="533"/>
      <c r="G2" s="533"/>
      <c r="H2" s="533"/>
      <c r="I2" s="533"/>
      <c r="J2" s="533"/>
      <c r="K2" s="533"/>
      <c r="L2" s="533"/>
      <c r="M2" s="533"/>
      <c r="N2" s="533"/>
      <c r="O2" s="533"/>
      <c r="P2" s="533"/>
    </row>
    <row r="3" spans="1:16">
      <c r="A3" s="533"/>
      <c r="B3" s="533"/>
      <c r="C3" s="533"/>
      <c r="D3" s="533"/>
      <c r="E3" s="533"/>
      <c r="F3" s="533"/>
      <c r="G3" s="533"/>
      <c r="H3" s="533"/>
      <c r="I3" s="533"/>
      <c r="J3" s="533"/>
      <c r="K3" s="533"/>
      <c r="L3" s="533"/>
      <c r="M3" s="533"/>
      <c r="N3" s="533"/>
      <c r="O3" s="533"/>
      <c r="P3" s="533"/>
    </row>
    <row r="4" spans="1:16">
      <c r="A4" s="533"/>
      <c r="B4" s="533"/>
      <c r="C4" s="533"/>
      <c r="D4" s="533"/>
      <c r="E4" s="533"/>
      <c r="F4" s="533"/>
      <c r="G4" s="533"/>
      <c r="H4" s="533"/>
      <c r="I4" s="533"/>
      <c r="J4" s="533"/>
      <c r="K4" s="533"/>
      <c r="L4" s="533"/>
      <c r="M4" s="533"/>
      <c r="N4" s="533"/>
      <c r="O4" s="533"/>
      <c r="P4" s="533"/>
    </row>
    <row r="5" spans="1:16">
      <c r="A5" s="533"/>
      <c r="B5" s="533"/>
      <c r="C5" s="533"/>
      <c r="D5" s="533"/>
      <c r="E5" s="533"/>
      <c r="F5" s="533"/>
      <c r="G5" s="533"/>
      <c r="H5" s="533"/>
      <c r="I5" s="533"/>
      <c r="J5" s="533"/>
      <c r="K5" s="533"/>
      <c r="L5" s="533"/>
      <c r="M5" s="533"/>
      <c r="N5" s="533"/>
      <c r="O5" s="533"/>
      <c r="P5" s="533"/>
    </row>
    <row r="6" spans="1:16">
      <c r="A6" s="533"/>
      <c r="B6" s="533"/>
      <c r="C6" s="533"/>
      <c r="D6" s="533"/>
      <c r="E6" s="533"/>
      <c r="F6" s="533"/>
      <c r="G6" s="533"/>
      <c r="H6" s="533"/>
      <c r="I6" s="533"/>
      <c r="J6" s="533"/>
      <c r="K6" s="533"/>
      <c r="L6" s="533"/>
      <c r="M6" s="533"/>
      <c r="N6" s="533"/>
      <c r="O6" s="533"/>
      <c r="P6" s="533"/>
    </row>
    <row r="7" spans="1:16">
      <c r="A7" s="533"/>
      <c r="B7" s="533"/>
      <c r="C7" s="533"/>
      <c r="D7" s="533"/>
      <c r="E7" s="533"/>
      <c r="F7" s="533"/>
      <c r="G7" s="533"/>
      <c r="H7" s="533"/>
      <c r="I7" s="533"/>
      <c r="J7" s="533"/>
      <c r="K7" s="533"/>
      <c r="L7" s="533"/>
      <c r="M7" s="533"/>
      <c r="N7" s="533"/>
      <c r="O7" s="533"/>
      <c r="P7" s="533"/>
    </row>
    <row r="8" spans="1:16">
      <c r="A8" s="533"/>
      <c r="B8" s="533"/>
      <c r="C8" s="533"/>
      <c r="D8" s="533"/>
      <c r="E8" s="533"/>
      <c r="F8" s="533"/>
      <c r="G8" s="533"/>
      <c r="H8" s="533"/>
      <c r="I8" s="533"/>
      <c r="J8" s="533"/>
      <c r="K8" s="533"/>
      <c r="L8" s="533"/>
      <c r="M8" s="533"/>
      <c r="N8" s="533"/>
      <c r="O8" s="533"/>
      <c r="P8" s="533"/>
    </row>
    <row r="9" spans="1:16" ht="2.25" customHeight="1">
      <c r="A9" s="533"/>
      <c r="B9" s="533"/>
      <c r="C9" s="533"/>
      <c r="D9" s="533"/>
      <c r="E9" s="533"/>
      <c r="F9" s="533"/>
      <c r="G9" s="533"/>
      <c r="H9" s="533"/>
      <c r="I9" s="533"/>
      <c r="J9" s="533"/>
      <c r="K9" s="533"/>
      <c r="L9" s="533"/>
      <c r="M9" s="533"/>
      <c r="N9" s="533"/>
      <c r="O9" s="533"/>
      <c r="P9" s="533"/>
    </row>
    <row r="10" spans="1:16" hidden="1">
      <c r="A10" s="533"/>
      <c r="B10" s="533"/>
      <c r="C10" s="533"/>
      <c r="D10" s="533"/>
      <c r="E10" s="533"/>
      <c r="F10" s="533"/>
      <c r="G10" s="533"/>
      <c r="H10" s="533"/>
      <c r="I10" s="533"/>
      <c r="J10" s="533"/>
      <c r="K10" s="533"/>
      <c r="L10" s="533"/>
      <c r="M10" s="533"/>
      <c r="N10" s="533"/>
      <c r="O10" s="533"/>
      <c r="P10" s="533"/>
    </row>
    <row r="11" spans="1:16">
      <c r="A11" s="534" t="s">
        <v>212</v>
      </c>
      <c r="B11" s="536">
        <v>2000</v>
      </c>
      <c r="C11" s="538" t="s">
        <v>219</v>
      </c>
      <c r="D11" s="538" t="s">
        <v>556</v>
      </c>
      <c r="E11" s="541" t="s">
        <v>213</v>
      </c>
      <c r="F11" s="542"/>
      <c r="G11" s="536"/>
      <c r="H11" s="545" t="s">
        <v>557</v>
      </c>
      <c r="I11" s="546"/>
      <c r="J11" s="546"/>
      <c r="K11" s="546"/>
      <c r="L11" s="546"/>
      <c r="M11" s="546"/>
      <c r="N11" s="546"/>
      <c r="O11" s="547"/>
    </row>
    <row r="12" spans="1:16">
      <c r="A12" s="535"/>
      <c r="B12" s="537"/>
      <c r="C12" s="539"/>
      <c r="D12" s="539"/>
      <c r="E12" s="543"/>
      <c r="F12" s="544"/>
      <c r="G12" s="537"/>
      <c r="H12" s="544" t="s">
        <v>214</v>
      </c>
      <c r="I12" s="537"/>
      <c r="J12" s="543" t="s">
        <v>215</v>
      </c>
      <c r="K12" s="537"/>
      <c r="L12" s="543" t="s">
        <v>216</v>
      </c>
      <c r="M12" s="544"/>
      <c r="N12" s="544"/>
      <c r="O12" s="537"/>
    </row>
    <row r="13" spans="1:16" ht="67" thickBot="1">
      <c r="A13" s="212" t="s">
        <v>217</v>
      </c>
      <c r="B13" s="212" t="s">
        <v>218</v>
      </c>
      <c r="C13" s="540"/>
      <c r="D13" s="540"/>
      <c r="E13" s="417" t="s">
        <v>558</v>
      </c>
      <c r="F13" s="441" t="s">
        <v>559</v>
      </c>
      <c r="G13" s="213" t="s">
        <v>308</v>
      </c>
      <c r="H13" s="429" t="s">
        <v>360</v>
      </c>
      <c r="I13" s="441" t="s">
        <v>560</v>
      </c>
      <c r="J13" s="417" t="s">
        <v>360</v>
      </c>
      <c r="K13" s="441" t="s">
        <v>560</v>
      </c>
      <c r="L13" s="417" t="s">
        <v>360</v>
      </c>
      <c r="M13" s="441" t="s">
        <v>560</v>
      </c>
      <c r="N13" s="213" t="s">
        <v>58</v>
      </c>
      <c r="O13" s="213" t="s">
        <v>561</v>
      </c>
    </row>
    <row r="14" spans="1:16" ht="13" thickTop="1">
      <c r="A14" s="449" t="s">
        <v>562</v>
      </c>
      <c r="B14" s="449" t="s">
        <v>563</v>
      </c>
      <c r="C14" s="450">
        <v>0.85</v>
      </c>
      <c r="D14" s="451">
        <v>40</v>
      </c>
      <c r="E14" s="439">
        <v>4.29</v>
      </c>
      <c r="F14" s="452">
        <v>1.53</v>
      </c>
      <c r="G14" s="440">
        <v>0</v>
      </c>
      <c r="H14" s="453">
        <f t="shared" ref="H14:H32" si="0">E14/D14</f>
        <v>0.10725</v>
      </c>
      <c r="I14" s="440">
        <f t="shared" ref="I14:I32" si="1">F14+G14*8760/1000*C14</f>
        <v>1.53</v>
      </c>
      <c r="J14" s="454">
        <f t="shared" ref="J14:J32" si="2">H14/C14</f>
        <v>0.12617647058823531</v>
      </c>
      <c r="K14" s="440">
        <f t="shared" ref="K14:K32" si="3">I14/C14</f>
        <v>1.8</v>
      </c>
      <c r="L14" s="454">
        <f t="shared" ref="L14:M31" si="4">J14/8760*1000</f>
        <v>1.4403706688154716E-2</v>
      </c>
      <c r="M14" s="440">
        <f t="shared" si="4"/>
        <v>0.20547945205479454</v>
      </c>
      <c r="N14" s="455">
        <f t="shared" ref="N14:N32" si="5">SUM(L14:M14)</f>
        <v>0.21988315874294925</v>
      </c>
      <c r="O14" s="556">
        <f>AVERAGE(N14:N15)</f>
        <v>0.20532702121944668</v>
      </c>
    </row>
    <row r="15" spans="1:16" ht="13" thickBot="1">
      <c r="A15" s="224" t="s">
        <v>564</v>
      </c>
      <c r="B15" s="224" t="s">
        <v>565</v>
      </c>
      <c r="C15" s="225">
        <v>0.85</v>
      </c>
      <c r="D15" s="226">
        <v>40</v>
      </c>
      <c r="E15" s="227">
        <v>8.5</v>
      </c>
      <c r="F15" s="438">
        <v>0.24</v>
      </c>
      <c r="G15" s="527">
        <v>0.13</v>
      </c>
      <c r="H15" s="420">
        <f t="shared" si="0"/>
        <v>0.21249999999999999</v>
      </c>
      <c r="I15" s="527">
        <f t="shared" si="1"/>
        <v>1.2079800000000001</v>
      </c>
      <c r="J15" s="433">
        <f t="shared" si="2"/>
        <v>0.25</v>
      </c>
      <c r="K15" s="527">
        <f t="shared" si="3"/>
        <v>1.4211529411764707</v>
      </c>
      <c r="L15" s="433">
        <f t="shared" si="4"/>
        <v>2.8538812785388126E-2</v>
      </c>
      <c r="M15" s="527">
        <f t="shared" si="4"/>
        <v>0.16223207091055603</v>
      </c>
      <c r="N15" s="425">
        <f t="shared" si="5"/>
        <v>0.19077088369594414</v>
      </c>
      <c r="O15" s="557"/>
    </row>
    <row r="16" spans="1:16">
      <c r="A16" s="228" t="s">
        <v>566</v>
      </c>
      <c r="B16" s="228" t="s">
        <v>567</v>
      </c>
      <c r="C16" s="229">
        <v>0.9</v>
      </c>
      <c r="D16" s="230">
        <v>40</v>
      </c>
      <c r="E16" s="231">
        <f>36000/5600</f>
        <v>6.4285714285714288</v>
      </c>
      <c r="F16" s="470">
        <f>10000/5600</f>
        <v>1.7857142857142858</v>
      </c>
      <c r="G16" s="231">
        <v>0</v>
      </c>
      <c r="H16" s="418">
        <f t="shared" si="0"/>
        <v>0.16071428571428573</v>
      </c>
      <c r="I16" s="528">
        <f t="shared" si="1"/>
        <v>1.7857142857142858</v>
      </c>
      <c r="J16" s="434">
        <f t="shared" si="2"/>
        <v>0.17857142857142858</v>
      </c>
      <c r="K16" s="528">
        <f t="shared" si="3"/>
        <v>1.9841269841269842</v>
      </c>
      <c r="L16" s="434">
        <f t="shared" si="4"/>
        <v>2.0384866275277233E-2</v>
      </c>
      <c r="M16" s="528">
        <f t="shared" si="4"/>
        <v>0.22649851416974706</v>
      </c>
      <c r="N16" s="427">
        <f t="shared" si="5"/>
        <v>0.24688338044502428</v>
      </c>
      <c r="O16" s="558">
        <f>AVERAGE(N16:N18)</f>
        <v>0.24750247638375492</v>
      </c>
    </row>
    <row r="17" spans="1:15">
      <c r="A17" s="218" t="s">
        <v>568</v>
      </c>
      <c r="B17" s="218" t="s">
        <v>312</v>
      </c>
      <c r="C17" s="219">
        <v>0.9</v>
      </c>
      <c r="D17" s="220">
        <v>40</v>
      </c>
      <c r="E17" s="217">
        <v>17.5</v>
      </c>
      <c r="F17" s="526">
        <v>1.7</v>
      </c>
      <c r="G17" s="217">
        <v>0</v>
      </c>
      <c r="H17" s="525">
        <f>E17/D17</f>
        <v>0.4375</v>
      </c>
      <c r="I17" s="529">
        <f>F17+G17*8760/1000*C17</f>
        <v>1.7</v>
      </c>
      <c r="J17" s="435">
        <f>H17/C17</f>
        <v>0.4861111111111111</v>
      </c>
      <c r="K17" s="529">
        <f>I17/C17</f>
        <v>1.8888888888888888</v>
      </c>
      <c r="L17" s="435">
        <f t="shared" si="4"/>
        <v>5.5492135971588023E-2</v>
      </c>
      <c r="M17" s="529">
        <f t="shared" si="4"/>
        <v>0.21562658548959918</v>
      </c>
      <c r="N17" s="426">
        <f>SUM(L17:M17)</f>
        <v>0.27111872146118721</v>
      </c>
      <c r="O17" s="559"/>
    </row>
    <row r="18" spans="1:15" ht="13" thickBot="1">
      <c r="A18" s="457" t="s">
        <v>569</v>
      </c>
      <c r="B18" s="457" t="s">
        <v>563</v>
      </c>
      <c r="C18" s="458">
        <v>0.9</v>
      </c>
      <c r="D18" s="459">
        <v>40</v>
      </c>
      <c r="E18" s="444">
        <v>4</v>
      </c>
      <c r="F18" s="456">
        <v>1.67</v>
      </c>
      <c r="G18" s="444">
        <v>0</v>
      </c>
      <c r="H18" s="460">
        <f>E18/D18</f>
        <v>0.1</v>
      </c>
      <c r="I18" s="445">
        <f>F18+G18*8760/1000*C18</f>
        <v>1.67</v>
      </c>
      <c r="J18" s="447">
        <f>H18/C18</f>
        <v>0.11111111111111112</v>
      </c>
      <c r="K18" s="445">
        <f>I18/C18</f>
        <v>1.8555555555555554</v>
      </c>
      <c r="L18" s="447">
        <f t="shared" si="4"/>
        <v>1.2683916793505836E-2</v>
      </c>
      <c r="M18" s="445">
        <f t="shared" si="4"/>
        <v>0.21182141045154743</v>
      </c>
      <c r="N18" s="448">
        <f>SUM(L18:M18)</f>
        <v>0.22450532724505326</v>
      </c>
      <c r="O18" s="557"/>
    </row>
    <row r="19" spans="1:15">
      <c r="A19" s="228" t="s">
        <v>570</v>
      </c>
      <c r="B19" s="228" t="s">
        <v>312</v>
      </c>
      <c r="C19" s="229">
        <v>0.85</v>
      </c>
      <c r="D19" s="230">
        <v>40</v>
      </c>
      <c r="E19" s="231">
        <v>21.3</v>
      </c>
      <c r="F19" s="470">
        <v>7.8</v>
      </c>
      <c r="G19" s="231">
        <v>0</v>
      </c>
      <c r="H19" s="418">
        <f>E19/D19</f>
        <v>0.53249999999999997</v>
      </c>
      <c r="I19" s="528">
        <f>F19+G19*8760/1000*C19</f>
        <v>7.8</v>
      </c>
      <c r="J19" s="434">
        <f>H19/C19</f>
        <v>0.62647058823529411</v>
      </c>
      <c r="K19" s="528">
        <f>I19/C19</f>
        <v>9.1764705882352935</v>
      </c>
      <c r="L19" s="434">
        <f t="shared" si="4"/>
        <v>7.1514907332796127E-2</v>
      </c>
      <c r="M19" s="528">
        <f t="shared" si="4"/>
        <v>1.0475423045930701</v>
      </c>
      <c r="N19" s="427">
        <f>SUM(L19:M19)</f>
        <v>1.1190572119258662</v>
      </c>
      <c r="O19" s="558">
        <f>AVERAGE(N19:N20)</f>
        <v>0.71885911899006172</v>
      </c>
    </row>
    <row r="20" spans="1:15" ht="13" thickBot="1">
      <c r="A20" s="457" t="s">
        <v>571</v>
      </c>
      <c r="B20" s="457" t="s">
        <v>563</v>
      </c>
      <c r="C20" s="458">
        <v>0.85</v>
      </c>
      <c r="D20" s="459">
        <v>40</v>
      </c>
      <c r="E20" s="444">
        <v>3.71</v>
      </c>
      <c r="F20" s="456">
        <v>2.2799999999999998</v>
      </c>
      <c r="G20" s="444">
        <v>0</v>
      </c>
      <c r="H20" s="460">
        <f t="shared" si="0"/>
        <v>9.2749999999999999E-2</v>
      </c>
      <c r="I20" s="445">
        <f t="shared" si="1"/>
        <v>2.2799999999999998</v>
      </c>
      <c r="J20" s="447">
        <f t="shared" si="2"/>
        <v>0.10911764705882353</v>
      </c>
      <c r="K20" s="445">
        <f t="shared" si="3"/>
        <v>2.6823529411764704</v>
      </c>
      <c r="L20" s="447">
        <f t="shared" si="4"/>
        <v>1.2456352403975288E-2</v>
      </c>
      <c r="M20" s="445">
        <f t="shared" si="4"/>
        <v>0.30620467365028203</v>
      </c>
      <c r="N20" s="448">
        <f t="shared" si="5"/>
        <v>0.31866102605425733</v>
      </c>
      <c r="O20" s="557"/>
    </row>
    <row r="21" spans="1:15" ht="13" thickBot="1">
      <c r="A21" s="232" t="s">
        <v>572</v>
      </c>
      <c r="B21" s="232" t="s">
        <v>563</v>
      </c>
      <c r="C21" s="233">
        <v>0.55000000000000004</v>
      </c>
      <c r="D21" s="234">
        <v>40</v>
      </c>
      <c r="E21" s="235">
        <v>5.71</v>
      </c>
      <c r="F21" s="468">
        <v>1.1399999999999999</v>
      </c>
      <c r="G21" s="235">
        <v>0</v>
      </c>
      <c r="H21" s="419">
        <f t="shared" si="0"/>
        <v>0.14274999999999999</v>
      </c>
      <c r="I21" s="236">
        <f t="shared" si="1"/>
        <v>1.1399999999999999</v>
      </c>
      <c r="J21" s="436">
        <f t="shared" si="2"/>
        <v>0.25954545454545452</v>
      </c>
      <c r="K21" s="236">
        <f t="shared" si="3"/>
        <v>2.0727272727272723</v>
      </c>
      <c r="L21" s="436">
        <f t="shared" si="4"/>
        <v>2.9628476546284761E-2</v>
      </c>
      <c r="M21" s="236">
        <f t="shared" si="4"/>
        <v>0.236612702366127</v>
      </c>
      <c r="N21" s="428">
        <f t="shared" si="5"/>
        <v>0.26624117891241178</v>
      </c>
      <c r="O21" s="236">
        <f>N21</f>
        <v>0.26624117891241178</v>
      </c>
    </row>
    <row r="22" spans="1:15">
      <c r="A22" s="237" t="s">
        <v>309</v>
      </c>
      <c r="B22" s="237" t="s">
        <v>573</v>
      </c>
      <c r="C22" s="238">
        <v>0.2</v>
      </c>
      <c r="D22" s="239">
        <v>25</v>
      </c>
      <c r="E22" s="240">
        <v>37</v>
      </c>
      <c r="F22" s="474">
        <v>1</v>
      </c>
      <c r="G22" s="240">
        <v>0</v>
      </c>
      <c r="H22" s="430">
        <f>E22/D22</f>
        <v>1.48</v>
      </c>
      <c r="I22" s="530">
        <f>F22+G22*8760/1000*C22</f>
        <v>1</v>
      </c>
      <c r="J22" s="437">
        <f>H22/C22</f>
        <v>7.3999999999999995</v>
      </c>
      <c r="K22" s="530">
        <f>I22/C22</f>
        <v>5</v>
      </c>
      <c r="L22" s="437">
        <f>J22/8760*1000</f>
        <v>0.84474885844748848</v>
      </c>
      <c r="M22" s="530">
        <f>K22/8760*1000</f>
        <v>0.57077625570776247</v>
      </c>
      <c r="N22" s="432">
        <f>SUM(L22:M22)</f>
        <v>1.415525114155251</v>
      </c>
      <c r="O22" s="563">
        <f>N39</f>
        <v>0.79313246811604099</v>
      </c>
    </row>
    <row r="23" spans="1:15">
      <c r="A23" s="461" t="s">
        <v>310</v>
      </c>
      <c r="B23" s="461" t="s">
        <v>221</v>
      </c>
      <c r="C23" s="462">
        <v>0.2</v>
      </c>
      <c r="D23" s="463">
        <v>25</v>
      </c>
      <c r="E23" s="464">
        <v>32.340000000000003</v>
      </c>
      <c r="F23" s="473">
        <v>0.37</v>
      </c>
      <c r="G23" s="464">
        <v>0</v>
      </c>
      <c r="H23" s="465">
        <f t="shared" si="0"/>
        <v>1.2936000000000001</v>
      </c>
      <c r="I23" s="524">
        <f t="shared" si="1"/>
        <v>0.37</v>
      </c>
      <c r="J23" s="466">
        <f t="shared" si="2"/>
        <v>6.468</v>
      </c>
      <c r="K23" s="524">
        <f t="shared" si="3"/>
        <v>1.8499999999999999</v>
      </c>
      <c r="L23" s="466">
        <f t="shared" si="4"/>
        <v>0.73835616438356166</v>
      </c>
      <c r="M23" s="524">
        <f t="shared" si="4"/>
        <v>0.21118721461187212</v>
      </c>
      <c r="N23" s="467">
        <f t="shared" si="5"/>
        <v>0.94954337899543373</v>
      </c>
      <c r="O23" s="564"/>
    </row>
    <row r="24" spans="1:15" ht="13" thickBot="1">
      <c r="A24" s="457" t="s">
        <v>311</v>
      </c>
      <c r="B24" s="457" t="s">
        <v>563</v>
      </c>
      <c r="C24" s="458">
        <v>0.2</v>
      </c>
      <c r="D24" s="457">
        <v>25</v>
      </c>
      <c r="E24" s="444">
        <v>7.14</v>
      </c>
      <c r="F24" s="456">
        <v>0.12</v>
      </c>
      <c r="G24" s="471">
        <v>0</v>
      </c>
      <c r="H24" s="460">
        <f t="shared" si="0"/>
        <v>0.28559999999999997</v>
      </c>
      <c r="I24" s="444">
        <f t="shared" si="1"/>
        <v>0.12</v>
      </c>
      <c r="J24" s="456">
        <f t="shared" si="2"/>
        <v>1.4279999999999997</v>
      </c>
      <c r="K24" s="444">
        <f t="shared" si="3"/>
        <v>0.6</v>
      </c>
      <c r="L24" s="456">
        <f t="shared" si="4"/>
        <v>0.16301369863013696</v>
      </c>
      <c r="M24" s="444">
        <f t="shared" si="4"/>
        <v>6.8493150684931503E-2</v>
      </c>
      <c r="N24" s="472">
        <f t="shared" si="5"/>
        <v>0.23150684931506846</v>
      </c>
      <c r="O24" s="565"/>
    </row>
    <row r="25" spans="1:15">
      <c r="A25" s="228" t="s">
        <v>434</v>
      </c>
      <c r="B25" s="228" t="s">
        <v>438</v>
      </c>
      <c r="C25" s="241">
        <v>0.4</v>
      </c>
      <c r="D25" s="230">
        <v>25</v>
      </c>
      <c r="E25" s="231">
        <f>10310/1000</f>
        <v>10.31</v>
      </c>
      <c r="F25" s="470">
        <v>1</v>
      </c>
      <c r="G25" s="231">
        <v>0</v>
      </c>
      <c r="H25" s="430">
        <f t="shared" si="0"/>
        <v>0.41240000000000004</v>
      </c>
      <c r="I25" s="530">
        <f t="shared" si="1"/>
        <v>1</v>
      </c>
      <c r="J25" s="437">
        <f t="shared" si="2"/>
        <v>1.0310000000000001</v>
      </c>
      <c r="K25" s="530">
        <f t="shared" si="3"/>
        <v>2.5</v>
      </c>
      <c r="L25" s="437">
        <f t="shared" si="4"/>
        <v>0.11769406392694066</v>
      </c>
      <c r="M25" s="530">
        <f t="shared" si="4"/>
        <v>0.28538812785388123</v>
      </c>
      <c r="N25" s="432">
        <f t="shared" si="5"/>
        <v>0.40308219178082189</v>
      </c>
      <c r="O25" s="558">
        <f>AVERAGE(N25:N26,N27)</f>
        <v>0.23028919330289191</v>
      </c>
    </row>
    <row r="26" spans="1:15">
      <c r="A26" s="215" t="s">
        <v>435</v>
      </c>
      <c r="B26" s="215" t="s">
        <v>437</v>
      </c>
      <c r="C26" s="221">
        <v>0.4</v>
      </c>
      <c r="D26" s="216">
        <v>25</v>
      </c>
      <c r="E26" s="217">
        <v>4.5</v>
      </c>
      <c r="F26" s="526">
        <v>0.38</v>
      </c>
      <c r="G26" s="529">
        <v>0</v>
      </c>
      <c r="H26" s="421">
        <f t="shared" si="0"/>
        <v>0.18</v>
      </c>
      <c r="I26" s="529">
        <f t="shared" si="1"/>
        <v>0.38</v>
      </c>
      <c r="J26" s="435">
        <f t="shared" si="2"/>
        <v>0.44999999999999996</v>
      </c>
      <c r="K26" s="529">
        <f t="shared" si="3"/>
        <v>0.95</v>
      </c>
      <c r="L26" s="435">
        <f t="shared" si="4"/>
        <v>5.1369863013698627E-2</v>
      </c>
      <c r="M26" s="529">
        <f t="shared" si="4"/>
        <v>0.10844748858447488</v>
      </c>
      <c r="N26" s="426">
        <f t="shared" si="5"/>
        <v>0.15981735159817351</v>
      </c>
      <c r="O26" s="559"/>
    </row>
    <row r="27" spans="1:15" ht="13" thickBot="1">
      <c r="A27" s="442" t="s">
        <v>436</v>
      </c>
      <c r="B27" s="442" t="s">
        <v>563</v>
      </c>
      <c r="C27" s="469">
        <v>0.4</v>
      </c>
      <c r="D27" s="442">
        <v>25</v>
      </c>
      <c r="E27" s="445">
        <v>5.71</v>
      </c>
      <c r="F27" s="447">
        <v>0.22</v>
      </c>
      <c r="G27" s="471">
        <v>0</v>
      </c>
      <c r="H27" s="446">
        <f t="shared" si="0"/>
        <v>0.22839999999999999</v>
      </c>
      <c r="I27" s="445">
        <f t="shared" si="1"/>
        <v>0.22</v>
      </c>
      <c r="J27" s="447">
        <f t="shared" si="2"/>
        <v>0.57099999999999995</v>
      </c>
      <c r="K27" s="445">
        <f t="shared" si="3"/>
        <v>0.54999999999999993</v>
      </c>
      <c r="L27" s="447">
        <f t="shared" si="4"/>
        <v>6.5182648401826485E-2</v>
      </c>
      <c r="M27" s="445">
        <f t="shared" si="4"/>
        <v>6.2785388127853878E-2</v>
      </c>
      <c r="N27" s="448">
        <f t="shared" si="5"/>
        <v>0.12796803652968036</v>
      </c>
      <c r="O27" s="557"/>
    </row>
    <row r="28" spans="1:15">
      <c r="A28" s="242" t="s">
        <v>574</v>
      </c>
      <c r="B28" s="242" t="s">
        <v>362</v>
      </c>
      <c r="C28" s="241">
        <v>0.35</v>
      </c>
      <c r="D28" s="230">
        <v>25</v>
      </c>
      <c r="E28" s="231">
        <v>10.1</v>
      </c>
      <c r="F28" s="470">
        <v>0.4</v>
      </c>
      <c r="G28" s="528">
        <v>0</v>
      </c>
      <c r="H28" s="431">
        <f t="shared" si="0"/>
        <v>0.40399999999999997</v>
      </c>
      <c r="I28" s="528">
        <f t="shared" si="1"/>
        <v>0.4</v>
      </c>
      <c r="J28" s="434">
        <f t="shared" si="2"/>
        <v>1.1542857142857144</v>
      </c>
      <c r="K28" s="528">
        <f t="shared" si="3"/>
        <v>1.142857142857143</v>
      </c>
      <c r="L28" s="434">
        <f t="shared" si="4"/>
        <v>0.13176777560339206</v>
      </c>
      <c r="M28" s="528">
        <f t="shared" si="4"/>
        <v>0.13046314416177432</v>
      </c>
      <c r="N28" s="427">
        <f t="shared" si="5"/>
        <v>0.26223091976516638</v>
      </c>
      <c r="O28" s="558">
        <f>AVERAGE(N28,N29,N30:N32)</f>
        <v>0.16974559686888452</v>
      </c>
    </row>
    <row r="29" spans="1:15">
      <c r="A29" s="215" t="s">
        <v>220</v>
      </c>
      <c r="B29" s="215" t="s">
        <v>221</v>
      </c>
      <c r="C29" s="221">
        <v>0.35</v>
      </c>
      <c r="D29" s="220">
        <v>25</v>
      </c>
      <c r="E29" s="217">
        <v>3.8</v>
      </c>
      <c r="F29" s="526">
        <v>0.14399999999999999</v>
      </c>
      <c r="G29" s="529">
        <v>0</v>
      </c>
      <c r="H29" s="421">
        <f t="shared" si="0"/>
        <v>0.152</v>
      </c>
      <c r="I29" s="529">
        <f t="shared" si="1"/>
        <v>0.14399999999999999</v>
      </c>
      <c r="J29" s="435">
        <f t="shared" si="2"/>
        <v>0.43428571428571427</v>
      </c>
      <c r="K29" s="529">
        <f t="shared" si="3"/>
        <v>0.41142857142857142</v>
      </c>
      <c r="L29" s="435">
        <f t="shared" si="4"/>
        <v>4.9575994781474238E-2</v>
      </c>
      <c r="M29" s="529">
        <f t="shared" si="4"/>
        <v>4.6966731898238752E-2</v>
      </c>
      <c r="N29" s="426">
        <f t="shared" si="5"/>
        <v>9.654272667971299E-2</v>
      </c>
      <c r="O29" s="559"/>
    </row>
    <row r="30" spans="1:15">
      <c r="A30" s="215" t="s">
        <v>361</v>
      </c>
      <c r="B30" s="215" t="s">
        <v>575</v>
      </c>
      <c r="C30" s="221">
        <v>0.35</v>
      </c>
      <c r="D30" s="216">
        <v>25</v>
      </c>
      <c r="E30" s="529">
        <v>10.96</v>
      </c>
      <c r="F30" s="435">
        <v>0.17499999999999999</v>
      </c>
      <c r="G30" s="529">
        <v>0</v>
      </c>
      <c r="H30" s="421">
        <f t="shared" si="0"/>
        <v>0.43840000000000001</v>
      </c>
      <c r="I30" s="529">
        <f t="shared" si="1"/>
        <v>0.17499999999999999</v>
      </c>
      <c r="J30" s="435">
        <f t="shared" si="2"/>
        <v>1.2525714285714287</v>
      </c>
      <c r="K30" s="529">
        <f t="shared" si="3"/>
        <v>0.5</v>
      </c>
      <c r="L30" s="435">
        <f t="shared" si="4"/>
        <v>0.14298760600130464</v>
      </c>
      <c r="M30" s="529">
        <f t="shared" si="4"/>
        <v>5.7077625570776253E-2</v>
      </c>
      <c r="N30" s="426">
        <f t="shared" si="5"/>
        <v>0.20006523157208089</v>
      </c>
      <c r="O30" s="559"/>
    </row>
    <row r="31" spans="1:15">
      <c r="A31" s="215" t="s">
        <v>576</v>
      </c>
      <c r="B31" s="215" t="s">
        <v>312</v>
      </c>
      <c r="C31" s="221">
        <v>0.35</v>
      </c>
      <c r="D31" s="216">
        <v>25</v>
      </c>
      <c r="E31" s="529">
        <v>7.4</v>
      </c>
      <c r="F31" s="435">
        <v>0.2</v>
      </c>
      <c r="G31" s="529">
        <v>0</v>
      </c>
      <c r="H31" s="421">
        <f t="shared" si="0"/>
        <v>0.29600000000000004</v>
      </c>
      <c r="I31" s="529">
        <f t="shared" si="1"/>
        <v>0.2</v>
      </c>
      <c r="J31" s="435">
        <f t="shared" si="2"/>
        <v>0.84571428571428586</v>
      </c>
      <c r="K31" s="529">
        <f t="shared" si="3"/>
        <v>0.57142857142857151</v>
      </c>
      <c r="L31" s="435">
        <f t="shared" si="4"/>
        <v>9.6542726679713003E-2</v>
      </c>
      <c r="M31" s="529">
        <f t="shared" si="4"/>
        <v>6.523157208088716E-2</v>
      </c>
      <c r="N31" s="426">
        <f t="shared" si="5"/>
        <v>0.16177429876060018</v>
      </c>
      <c r="O31" s="559"/>
    </row>
    <row r="32" spans="1:15" ht="13" thickBot="1">
      <c r="A32" s="442" t="s">
        <v>577</v>
      </c>
      <c r="B32" s="442" t="s">
        <v>563</v>
      </c>
      <c r="C32" s="469">
        <v>0.35</v>
      </c>
      <c r="D32" s="443">
        <v>25</v>
      </c>
      <c r="E32" s="445">
        <v>2.57</v>
      </c>
      <c r="F32" s="447">
        <v>0.28999999999999998</v>
      </c>
      <c r="G32" s="445">
        <v>0</v>
      </c>
      <c r="H32" s="446">
        <f t="shared" si="0"/>
        <v>0.10279999999999999</v>
      </c>
      <c r="I32" s="445">
        <f t="shared" si="1"/>
        <v>0.28999999999999998</v>
      </c>
      <c r="J32" s="447">
        <f t="shared" si="2"/>
        <v>0.29371428571428571</v>
      </c>
      <c r="K32" s="445">
        <f t="shared" si="3"/>
        <v>0.82857142857142851</v>
      </c>
      <c r="L32" s="447">
        <f>J32/8760*1000</f>
        <v>3.3529028049575992E-2</v>
      </c>
      <c r="M32" s="445">
        <f>K32/8760*1000</f>
        <v>9.4585779517286361E-2</v>
      </c>
      <c r="N32" s="448">
        <f t="shared" si="5"/>
        <v>0.12811480756686236</v>
      </c>
      <c r="O32" s="557"/>
    </row>
    <row r="33" spans="1:15" ht="23" thickBot="1">
      <c r="A33" s="232" t="s">
        <v>431</v>
      </c>
      <c r="B33" s="232" t="s">
        <v>432</v>
      </c>
      <c r="C33" s="233">
        <v>0.8</v>
      </c>
      <c r="D33" s="234">
        <v>40</v>
      </c>
      <c r="E33" s="235">
        <v>20.48</v>
      </c>
      <c r="F33" s="468">
        <v>0.31</v>
      </c>
      <c r="G33" s="235">
        <v>0.06</v>
      </c>
      <c r="H33" s="419">
        <v>0.51200000000000001</v>
      </c>
      <c r="I33" s="236">
        <v>0.73048000000000002</v>
      </c>
      <c r="J33" s="436">
        <v>0.64</v>
      </c>
      <c r="K33" s="236">
        <v>0.91310000000000002</v>
      </c>
      <c r="L33" s="436">
        <v>7.3059360730593603E-2</v>
      </c>
      <c r="M33" s="236">
        <v>0.10423515981735161</v>
      </c>
      <c r="N33" s="428">
        <v>0.1772945205479452</v>
      </c>
      <c r="O33" s="236">
        <f>N33</f>
        <v>0.1772945205479452</v>
      </c>
    </row>
    <row r="34" spans="1:15" ht="13" thickBot="1">
      <c r="A34" s="232" t="s">
        <v>225</v>
      </c>
      <c r="B34" s="232" t="s">
        <v>433</v>
      </c>
      <c r="C34" s="233">
        <v>0.9</v>
      </c>
      <c r="D34" s="234">
        <v>40</v>
      </c>
      <c r="E34" s="235">
        <v>15.2</v>
      </c>
      <c r="F34" s="468">
        <v>0.7</v>
      </c>
      <c r="G34" s="235">
        <v>0</v>
      </c>
      <c r="H34" s="422">
        <f>E34/D34</f>
        <v>0.38</v>
      </c>
      <c r="I34" s="236">
        <f>F34+G34*8760/1000*C34</f>
        <v>0.7</v>
      </c>
      <c r="J34" s="436">
        <f>H34/C34</f>
        <v>0.42222222222222222</v>
      </c>
      <c r="K34" s="236">
        <f>I34/C34</f>
        <v>0.77777777777777768</v>
      </c>
      <c r="L34" s="436">
        <f t="shared" ref="L34:M36" si="6">J34/8760*1000</f>
        <v>4.8198883815322169E-2</v>
      </c>
      <c r="M34" s="236">
        <f t="shared" si="6"/>
        <v>8.8787417554540837E-2</v>
      </c>
      <c r="N34" s="428">
        <f>SUM(L34:M34)</f>
        <v>0.13698630136986301</v>
      </c>
      <c r="O34" s="236">
        <f>N34</f>
        <v>0.13698630136986301</v>
      </c>
    </row>
    <row r="35" spans="1:15" ht="13" thickBot="1">
      <c r="A35" s="243" t="s">
        <v>142</v>
      </c>
      <c r="B35" s="243" t="s">
        <v>223</v>
      </c>
      <c r="C35" s="244">
        <v>0.8</v>
      </c>
      <c r="D35" s="245">
        <v>40</v>
      </c>
      <c r="E35" s="236">
        <v>8.5</v>
      </c>
      <c r="F35" s="436">
        <v>0.18</v>
      </c>
      <c r="G35" s="236">
        <v>5.8999999999999997E-2</v>
      </c>
      <c r="H35" s="422">
        <f>E35/D35</f>
        <v>0.21249999999999999</v>
      </c>
      <c r="I35" s="236">
        <v>0.59</v>
      </c>
      <c r="J35" s="436">
        <f>H35/C35</f>
        <v>0.265625</v>
      </c>
      <c r="K35" s="236">
        <f>I35/C35</f>
        <v>0.73749999999999993</v>
      </c>
      <c r="L35" s="436">
        <f t="shared" si="6"/>
        <v>3.0322488584474887E-2</v>
      </c>
      <c r="M35" s="236">
        <f t="shared" si="6"/>
        <v>8.4189497716894962E-2</v>
      </c>
      <c r="N35" s="428">
        <f>SUM(L35:M35)</f>
        <v>0.11451198630136986</v>
      </c>
      <c r="O35" s="236">
        <f>N35</f>
        <v>0.11451198630136986</v>
      </c>
    </row>
    <row r="36" spans="1:15" ht="13" thickBot="1">
      <c r="A36" s="243" t="s">
        <v>222</v>
      </c>
      <c r="B36" s="243" t="s">
        <v>312</v>
      </c>
      <c r="C36" s="244">
        <v>0.85</v>
      </c>
      <c r="D36" s="245">
        <v>40</v>
      </c>
      <c r="E36" s="236">
        <v>1.02</v>
      </c>
      <c r="F36" s="436">
        <v>0.1</v>
      </c>
      <c r="G36" s="236">
        <v>0.09</v>
      </c>
      <c r="H36" s="422">
        <f>E36/D36</f>
        <v>2.5500000000000002E-2</v>
      </c>
      <c r="I36" s="236">
        <f>F36+G36*8760/1000*C36</f>
        <v>0.77013999999999994</v>
      </c>
      <c r="J36" s="436">
        <f>H36/C36</f>
        <v>3.0000000000000002E-2</v>
      </c>
      <c r="K36" s="236">
        <f>I36/C36</f>
        <v>0.90604705882352932</v>
      </c>
      <c r="L36" s="436">
        <f t="shared" si="6"/>
        <v>3.4246575342465756E-3</v>
      </c>
      <c r="M36" s="236">
        <f t="shared" si="6"/>
        <v>0.10343002954606499</v>
      </c>
      <c r="N36" s="428">
        <f>SUM(L36:M36)</f>
        <v>0.10685468708031157</v>
      </c>
      <c r="O36" s="236">
        <f>N36</f>
        <v>0.10685468708031157</v>
      </c>
    </row>
    <row r="37" spans="1:15">
      <c r="A37" s="214" t="s">
        <v>427</v>
      </c>
      <c r="B37" s="214" t="s">
        <v>429</v>
      </c>
      <c r="C37" s="246">
        <v>1</v>
      </c>
      <c r="D37" s="223">
        <v>20</v>
      </c>
      <c r="E37" s="548" t="s">
        <v>0</v>
      </c>
      <c r="F37" s="549"/>
      <c r="G37" s="549"/>
      <c r="H37" s="549"/>
      <c r="I37" s="549"/>
      <c r="J37" s="549"/>
      <c r="K37" s="549"/>
      <c r="L37" s="549"/>
      <c r="M37" s="550"/>
      <c r="N37" s="424">
        <v>0.17</v>
      </c>
      <c r="O37" s="551">
        <f>AVERAGE(N37,N38)</f>
        <v>0.38</v>
      </c>
    </row>
    <row r="38" spans="1:15">
      <c r="A38" s="215" t="s">
        <v>428</v>
      </c>
      <c r="B38" s="215" t="s">
        <v>430</v>
      </c>
      <c r="C38" s="222">
        <v>1</v>
      </c>
      <c r="D38" s="216">
        <v>20</v>
      </c>
      <c r="E38" s="553" t="s">
        <v>0</v>
      </c>
      <c r="F38" s="554"/>
      <c r="G38" s="554"/>
      <c r="H38" s="554"/>
      <c r="I38" s="554"/>
      <c r="J38" s="554"/>
      <c r="K38" s="554"/>
      <c r="L38" s="554"/>
      <c r="M38" s="555"/>
      <c r="N38" s="426">
        <v>0.59</v>
      </c>
      <c r="O38" s="552"/>
    </row>
    <row r="39" spans="1:15">
      <c r="A39" s="81" t="s">
        <v>747</v>
      </c>
      <c r="B39" s="81" t="s">
        <v>748</v>
      </c>
      <c r="C39" s="566">
        <v>0.2</v>
      </c>
      <c r="D39" s="81">
        <v>25</v>
      </c>
      <c r="E39" s="423">
        <f>(97031+32490+15112+20185)/B40</f>
        <v>14.698366579021558</v>
      </c>
      <c r="F39" s="423">
        <f>(8989)/B40</f>
        <v>0.80163342097844159</v>
      </c>
      <c r="G39" s="81">
        <v>0</v>
      </c>
      <c r="H39" s="423">
        <f>E39/D39</f>
        <v>0.58793466316086229</v>
      </c>
      <c r="I39" s="423">
        <f>F39</f>
        <v>0.80163342097844159</v>
      </c>
      <c r="J39" s="423">
        <f>H39/C39</f>
        <v>2.9396733158043111</v>
      </c>
      <c r="K39" s="423">
        <f>I39/C39</f>
        <v>4.0081671048922081</v>
      </c>
      <c r="L39" s="423">
        <f>J39/8760*1000</f>
        <v>0.33557914563976154</v>
      </c>
      <c r="M39" s="423">
        <f>K39/8760*1000</f>
        <v>0.4575533224762795</v>
      </c>
      <c r="N39" s="81">
        <f>L39+M39</f>
        <v>0.79313246811604099</v>
      </c>
    </row>
    <row r="40" spans="1:15">
      <c r="B40" s="81">
        <f>173807/15.5</f>
        <v>11213.354838709678</v>
      </c>
    </row>
    <row r="41" spans="1:15">
      <c r="N41" s="567"/>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60"/>
      <c r="C1" s="560"/>
      <c r="D1" s="560"/>
      <c r="E1" s="560"/>
      <c r="F1" s="560"/>
      <c r="G1" s="560"/>
      <c r="H1" s="560"/>
      <c r="I1" s="560"/>
      <c r="J1" s="560"/>
      <c r="K1" s="560"/>
      <c r="L1" s="560"/>
    </row>
    <row r="2" spans="1:12">
      <c r="B2" s="560"/>
      <c r="C2" s="560"/>
      <c r="D2" s="560"/>
      <c r="E2" s="560"/>
      <c r="F2" s="560"/>
      <c r="G2" s="560"/>
      <c r="H2" s="560"/>
      <c r="I2" s="560"/>
      <c r="J2" s="560"/>
      <c r="K2" s="560"/>
      <c r="L2" s="560"/>
    </row>
    <row r="3" spans="1:12">
      <c r="B3" s="560"/>
      <c r="C3" s="560"/>
      <c r="D3" s="560"/>
      <c r="E3" s="560"/>
      <c r="F3" s="560"/>
      <c r="G3" s="560"/>
      <c r="H3" s="560"/>
      <c r="I3" s="560"/>
      <c r="J3" s="560"/>
      <c r="K3" s="560"/>
      <c r="L3" s="560"/>
    </row>
    <row r="4" spans="1:12">
      <c r="B4" s="560"/>
      <c r="C4" s="560"/>
      <c r="D4" s="560"/>
      <c r="E4" s="560"/>
      <c r="F4" s="560"/>
      <c r="G4" s="560"/>
      <c r="H4" s="560"/>
      <c r="I4" s="560"/>
      <c r="J4" s="560"/>
      <c r="K4" s="560"/>
      <c r="L4" s="560"/>
    </row>
    <row r="5" spans="1:12">
      <c r="B5" s="560"/>
      <c r="C5" s="560"/>
      <c r="D5" s="560"/>
      <c r="E5" s="560"/>
      <c r="F5" s="560"/>
      <c r="G5" s="560"/>
      <c r="H5" s="560"/>
      <c r="I5" s="560"/>
      <c r="J5" s="560"/>
      <c r="K5" s="560"/>
      <c r="L5" s="560"/>
    </row>
    <row r="6" spans="1:12">
      <c r="B6" s="560"/>
      <c r="C6" s="560"/>
      <c r="D6" s="560"/>
      <c r="E6" s="560"/>
      <c r="F6" s="560"/>
      <c r="G6" s="560"/>
      <c r="H6" s="560"/>
      <c r="I6" s="560"/>
      <c r="J6" s="560"/>
      <c r="K6" s="560"/>
      <c r="L6" s="560"/>
    </row>
    <row r="7" spans="1:12">
      <c r="B7" s="560"/>
      <c r="C7" s="560"/>
      <c r="D7" s="560"/>
      <c r="E7" s="560"/>
      <c r="F7" s="560"/>
      <c r="G7" s="560"/>
      <c r="H7" s="560"/>
      <c r="I7" s="560"/>
      <c r="J7" s="560"/>
      <c r="K7" s="560"/>
      <c r="L7" s="560"/>
    </row>
    <row r="8" spans="1:12">
      <c r="B8" s="560"/>
      <c r="C8" s="560"/>
      <c r="D8" s="560"/>
      <c r="E8" s="560"/>
      <c r="F8" s="560"/>
      <c r="G8" s="560"/>
      <c r="H8" s="560"/>
      <c r="I8" s="560"/>
      <c r="J8" s="560"/>
      <c r="K8" s="560"/>
      <c r="L8" s="560"/>
    </row>
    <row r="9" spans="1:12" ht="48" customHeight="1">
      <c r="B9" s="560"/>
      <c r="C9" s="560"/>
      <c r="D9" s="560"/>
      <c r="E9" s="560"/>
      <c r="F9" s="560"/>
      <c r="G9" s="560"/>
      <c r="H9" s="560"/>
      <c r="I9" s="560"/>
      <c r="J9" s="560"/>
      <c r="K9" s="560"/>
      <c r="L9" s="560"/>
    </row>
    <row r="10" spans="1:12" s="145" customFormat="1" ht="15" thickBot="1">
      <c r="A10" s="140" t="s">
        <v>149</v>
      </c>
      <c r="B10" s="141" t="s">
        <v>460</v>
      </c>
      <c r="C10" s="142" t="s">
        <v>144</v>
      </c>
      <c r="D10" s="142" t="s">
        <v>461</v>
      </c>
      <c r="E10" s="142" t="s">
        <v>265</v>
      </c>
      <c r="F10" s="142" t="s">
        <v>461</v>
      </c>
      <c r="G10" s="142" t="s">
        <v>145</v>
      </c>
      <c r="H10" s="143" t="s">
        <v>146</v>
      </c>
      <c r="I10" s="142" t="s">
        <v>147</v>
      </c>
      <c r="J10" s="144" t="s">
        <v>263</v>
      </c>
    </row>
    <row r="11" spans="1:12" s="146" customFormat="1" ht="84">
      <c r="A11" s="146" t="s">
        <v>143</v>
      </c>
      <c r="B11" s="147">
        <v>1</v>
      </c>
      <c r="C11" s="148">
        <v>2009</v>
      </c>
      <c r="D11" s="148" t="s">
        <v>277</v>
      </c>
      <c r="E11" s="148" t="s">
        <v>275</v>
      </c>
      <c r="F11" s="148" t="str">
        <f>D11 &amp; " - " &amp; E11</f>
        <v>Isabel Blanco and Christian Kjaer - European Wind Energy Association</v>
      </c>
      <c r="G11" s="148" t="s">
        <v>276</v>
      </c>
      <c r="H11" s="148" t="s">
        <v>553</v>
      </c>
      <c r="I11" s="148" t="s">
        <v>462</v>
      </c>
      <c r="J11" s="146" t="s">
        <v>463</v>
      </c>
    </row>
    <row r="12" spans="1:12" s="146" customFormat="1" ht="28">
      <c r="B12" s="149">
        <f>B11+1</f>
        <v>2</v>
      </c>
      <c r="C12" s="150">
        <v>2009</v>
      </c>
      <c r="D12" s="150" t="s">
        <v>464</v>
      </c>
      <c r="E12" s="150" t="s">
        <v>465</v>
      </c>
      <c r="F12" s="148" t="str">
        <f t="shared" ref="F12:F26" si="0">D12 &amp; " - " &amp; E12</f>
        <v>Julio Friedmann - Lawrence Livermore National Laboratory</v>
      </c>
      <c r="G12" s="150" t="s">
        <v>466</v>
      </c>
      <c r="H12" s="150" t="s">
        <v>467</v>
      </c>
      <c r="I12" s="150" t="s">
        <v>468</v>
      </c>
    </row>
    <row r="13" spans="1:12" s="146" customFormat="1" ht="28">
      <c r="B13" s="149">
        <f>B12+1</f>
        <v>3</v>
      </c>
      <c r="C13" s="150">
        <v>2009</v>
      </c>
      <c r="D13" s="150" t="s">
        <v>469</v>
      </c>
      <c r="E13" s="150" t="s">
        <v>470</v>
      </c>
      <c r="F13" s="148" t="str">
        <f t="shared" si="0"/>
        <v>José Goldemberg  - State of São Paulo, Brazil</v>
      </c>
      <c r="G13" s="150" t="s">
        <v>471</v>
      </c>
      <c r="H13" s="150"/>
      <c r="I13" s="150"/>
    </row>
    <row r="14" spans="1:12" s="146" customFormat="1" ht="42">
      <c r="B14" s="151">
        <f>B13+1</f>
        <v>4</v>
      </c>
      <c r="C14" s="152">
        <v>2009</v>
      </c>
      <c r="D14" s="152" t="s">
        <v>472</v>
      </c>
      <c r="E14" s="152" t="s">
        <v>473</v>
      </c>
      <c r="F14" s="148" t="str">
        <f t="shared" si="0"/>
        <v xml:space="preserve">SkyFuels - National Renewable Energy Laboratory </v>
      </c>
      <c r="G14" s="152" t="s">
        <v>474</v>
      </c>
      <c r="H14" s="152" t="s">
        <v>475</v>
      </c>
      <c r="I14" s="152" t="s">
        <v>476</v>
      </c>
    </row>
    <row r="15" spans="1:12" s="153" customFormat="1" ht="93.75" customHeight="1">
      <c r="A15" s="150" t="s">
        <v>224</v>
      </c>
      <c r="B15" s="149">
        <f>B14+1</f>
        <v>5</v>
      </c>
      <c r="C15" s="150">
        <v>2008</v>
      </c>
      <c r="D15" s="150" t="s">
        <v>274</v>
      </c>
      <c r="E15" s="150" t="s">
        <v>272</v>
      </c>
      <c r="F15" s="148" t="str">
        <f t="shared" si="0"/>
        <v>John A. "Skip" Laitner and Vanessa McKinney - American Council for an Energy Efficient Economy</v>
      </c>
      <c r="G15" s="150" t="s">
        <v>273</v>
      </c>
      <c r="H15" s="150" t="s">
        <v>148</v>
      </c>
      <c r="I15" s="150" t="s">
        <v>477</v>
      </c>
      <c r="J15" s="146" t="s">
        <v>478</v>
      </c>
    </row>
    <row r="16" spans="1:12" s="153" customFormat="1" ht="42">
      <c r="A16" s="150"/>
      <c r="B16" s="149">
        <f>B15+1</f>
        <v>6</v>
      </c>
      <c r="C16" s="150">
        <v>2008</v>
      </c>
      <c r="D16" s="150" t="s">
        <v>479</v>
      </c>
      <c r="E16" s="150" t="s">
        <v>480</v>
      </c>
      <c r="F16" s="148" t="str">
        <f t="shared" si="0"/>
        <v>David Roland-Holst - University of California, Berkeley</v>
      </c>
      <c r="G16" s="150" t="s">
        <v>481</v>
      </c>
      <c r="H16" s="150" t="s">
        <v>482</v>
      </c>
      <c r="I16" s="150" t="s">
        <v>483</v>
      </c>
      <c r="J16" s="146"/>
    </row>
    <row r="17" spans="1:10" s="153" customFormat="1" ht="28">
      <c r="A17" s="150"/>
      <c r="B17" s="149">
        <v>7</v>
      </c>
      <c r="C17" s="150">
        <v>2007</v>
      </c>
      <c r="D17" s="150" t="s">
        <v>497</v>
      </c>
      <c r="E17" s="150" t="s">
        <v>0</v>
      </c>
      <c r="F17" s="148" t="str">
        <f>D17</f>
        <v>Vestas</v>
      </c>
      <c r="G17" s="150" t="s">
        <v>498</v>
      </c>
      <c r="H17" s="150" t="s">
        <v>499</v>
      </c>
      <c r="I17" s="150" t="s">
        <v>500</v>
      </c>
      <c r="J17" s="146"/>
    </row>
    <row r="18" spans="1:10" s="153" customFormat="1" ht="42">
      <c r="A18" s="150"/>
      <c r="B18" s="149">
        <v>8</v>
      </c>
      <c r="C18" s="150">
        <v>2006</v>
      </c>
      <c r="D18" s="150" t="s">
        <v>484</v>
      </c>
      <c r="E18" s="150" t="s">
        <v>485</v>
      </c>
      <c r="F18" s="148" t="str">
        <f t="shared" si="0"/>
        <v>Winfried Hoffman, Sven Teske - European Photovoltaic Industry Association (EPIA) and Greenpeace</v>
      </c>
      <c r="G18" s="150" t="s">
        <v>486</v>
      </c>
      <c r="H18" s="150" t="s">
        <v>487</v>
      </c>
      <c r="I18" s="150" t="s">
        <v>488</v>
      </c>
      <c r="J18" s="146"/>
    </row>
    <row r="19" spans="1:10" s="153" customFormat="1" ht="84" customHeight="1">
      <c r="A19" s="150" t="s">
        <v>262</v>
      </c>
      <c r="B19" s="149">
        <v>9</v>
      </c>
      <c r="C19" s="150">
        <v>2006</v>
      </c>
      <c r="D19" s="150" t="s">
        <v>278</v>
      </c>
      <c r="E19" s="150" t="s">
        <v>279</v>
      </c>
      <c r="F19" s="148" t="str">
        <f t="shared" si="0"/>
        <v>Frithjof Staiss, et al. - Forschungsvorhaben im Auftrag des Bundesministeriums für Umwelt, Naturschutz und Reaktorsicherheit, Federal Republic of Germany.</v>
      </c>
      <c r="G19" s="150" t="s">
        <v>533</v>
      </c>
      <c r="H19" s="150" t="s">
        <v>534</v>
      </c>
      <c r="I19" s="150"/>
      <c r="J19" s="146" t="s">
        <v>489</v>
      </c>
    </row>
    <row r="20" spans="1:10" s="153" customFormat="1" ht="42">
      <c r="A20" s="150" t="s">
        <v>314</v>
      </c>
      <c r="B20" s="149">
        <v>10</v>
      </c>
      <c r="C20" s="150">
        <v>2006</v>
      </c>
      <c r="D20" s="150" t="s">
        <v>323</v>
      </c>
      <c r="E20" s="150" t="s">
        <v>320</v>
      </c>
      <c r="F20" s="148" t="str">
        <f t="shared" si="0"/>
        <v>George Sterzinger - Renewable Energy Policy Project (REPP)</v>
      </c>
      <c r="G20" s="150" t="s">
        <v>324</v>
      </c>
      <c r="H20" s="150" t="s">
        <v>490</v>
      </c>
      <c r="I20" s="150" t="s">
        <v>0</v>
      </c>
      <c r="J20" s="146" t="s">
        <v>325</v>
      </c>
    </row>
    <row r="21" spans="1:10" s="153" customFormat="1" ht="70">
      <c r="A21" s="150" t="s">
        <v>491</v>
      </c>
      <c r="B21" s="149">
        <v>11</v>
      </c>
      <c r="C21" s="150">
        <v>2006</v>
      </c>
      <c r="D21" s="150" t="s">
        <v>492</v>
      </c>
      <c r="E21" s="150" t="s">
        <v>493</v>
      </c>
      <c r="F21" s="148" t="str">
        <f t="shared" si="0"/>
        <v>L. Stoddard, J. Abiecunas, R. O'Connell - National Renewable Energy Laboratory</v>
      </c>
      <c r="G21" s="150" t="s">
        <v>494</v>
      </c>
      <c r="H21" s="150" t="s">
        <v>554</v>
      </c>
      <c r="I21" s="150" t="s">
        <v>495</v>
      </c>
      <c r="J21" s="146" t="s">
        <v>496</v>
      </c>
    </row>
    <row r="22" spans="1:10" s="153" customFormat="1" ht="42">
      <c r="A22" s="150" t="s">
        <v>501</v>
      </c>
      <c r="B22" s="149">
        <v>12</v>
      </c>
      <c r="C22" s="150">
        <v>2005</v>
      </c>
      <c r="D22" s="150" t="s">
        <v>502</v>
      </c>
      <c r="E22" s="150" t="s">
        <v>503</v>
      </c>
      <c r="F22" s="148" t="str">
        <f t="shared" si="0"/>
        <v>Doug Arent, John Tschirhart, Dick Watsson - Western Governors' Association: Geothermal Task Force</v>
      </c>
      <c r="G22" s="150" t="s">
        <v>504</v>
      </c>
      <c r="H22" s="150" t="s">
        <v>505</v>
      </c>
      <c r="I22" s="150"/>
      <c r="J22" s="146" t="s">
        <v>506</v>
      </c>
    </row>
    <row r="23" spans="1:10" s="153" customFormat="1" ht="70">
      <c r="A23" s="154"/>
      <c r="B23" s="149">
        <v>13</v>
      </c>
      <c r="C23" s="150">
        <v>2005</v>
      </c>
      <c r="D23" s="150" t="s">
        <v>507</v>
      </c>
      <c r="E23" s="150" t="s">
        <v>508</v>
      </c>
      <c r="F23" s="148" t="str">
        <f t="shared" si="0"/>
        <v>Jose Gil and Hugo Lucas - Institute for Diversification and Saving of Energy (Instituto para la Diversificacion y Ahorro de la Energia, IDAE)</v>
      </c>
      <c r="G23" s="150" t="s">
        <v>509</v>
      </c>
      <c r="H23" s="150" t="s">
        <v>532</v>
      </c>
      <c r="I23" s="150" t="s">
        <v>530</v>
      </c>
      <c r="J23" s="146" t="s">
        <v>531</v>
      </c>
    </row>
    <row r="24" spans="1:10" s="153" customFormat="1" ht="56">
      <c r="A24" s="150" t="s">
        <v>269</v>
      </c>
      <c r="B24" s="149">
        <v>14</v>
      </c>
      <c r="C24" s="150">
        <v>2004</v>
      </c>
      <c r="D24" s="150" t="s">
        <v>266</v>
      </c>
      <c r="E24" s="150" t="s">
        <v>267</v>
      </c>
      <c r="F24" s="148" t="str">
        <f t="shared" si="0"/>
        <v xml:space="preserve">Daniel M. Kammen, Kamal Kapadia, and Matthias Fripp - Energy and Resources Group, Universtiy of California, Berkeley.  </v>
      </c>
      <c r="G24" s="150" t="s">
        <v>264</v>
      </c>
      <c r="H24" s="150" t="s">
        <v>270</v>
      </c>
      <c r="I24" s="150" t="s">
        <v>271</v>
      </c>
      <c r="J24" s="146" t="s">
        <v>510</v>
      </c>
    </row>
    <row r="25" spans="1:10" s="153" customFormat="1" ht="70.5" customHeight="1">
      <c r="A25" s="150" t="s">
        <v>225</v>
      </c>
      <c r="B25" s="149">
        <v>15</v>
      </c>
      <c r="C25" s="150">
        <v>2004</v>
      </c>
      <c r="D25" s="150" t="s">
        <v>268</v>
      </c>
      <c r="E25" s="150" t="s">
        <v>313</v>
      </c>
      <c r="F25" s="148" t="str">
        <f t="shared" si="0"/>
        <v>C.R. Kenley, et al.  - Idaho National Engineering and Environmental Laboratory (INEEL) and Bechtel BWXT Idaho, LLC</v>
      </c>
      <c r="G25" s="150" t="s">
        <v>511</v>
      </c>
      <c r="H25" s="150" t="s">
        <v>512</v>
      </c>
      <c r="I25" s="150" t="s">
        <v>513</v>
      </c>
      <c r="J25" s="146" t="s">
        <v>514</v>
      </c>
    </row>
    <row r="26" spans="1:10" s="153" customFormat="1" ht="70">
      <c r="A26" s="150" t="s">
        <v>314</v>
      </c>
      <c r="B26" s="149">
        <v>16</v>
      </c>
      <c r="C26" s="150">
        <v>2002</v>
      </c>
      <c r="D26" s="150" t="s">
        <v>315</v>
      </c>
      <c r="E26" s="150" t="s">
        <v>316</v>
      </c>
      <c r="F26" s="148" t="str">
        <f t="shared" si="0"/>
        <v>Heavner and Churchill - CALPIRG (California Public Interest Research Group) Charitable Trust</v>
      </c>
      <c r="G26" s="150" t="s">
        <v>317</v>
      </c>
      <c r="H26" s="150" t="s">
        <v>515</v>
      </c>
      <c r="I26" s="150" t="s">
        <v>516</v>
      </c>
      <c r="J26" s="146" t="s">
        <v>318</v>
      </c>
    </row>
    <row r="27" spans="1:10" s="153" customFormat="1" ht="112">
      <c r="A27" s="150" t="s">
        <v>314</v>
      </c>
      <c r="B27" s="149">
        <f>B26+1</f>
        <v>17</v>
      </c>
      <c r="C27" s="150">
        <v>2001</v>
      </c>
      <c r="D27" s="150" t="s">
        <v>319</v>
      </c>
      <c r="E27" s="150" t="s">
        <v>320</v>
      </c>
      <c r="F27" s="150" t="s">
        <v>536</v>
      </c>
      <c r="G27" s="150" t="s">
        <v>321</v>
      </c>
      <c r="H27" s="150" t="s">
        <v>517</v>
      </c>
      <c r="I27" s="150" t="s">
        <v>518</v>
      </c>
      <c r="J27" s="146" t="s">
        <v>322</v>
      </c>
    </row>
    <row r="28" spans="1:10">
      <c r="A28" s="150"/>
      <c r="B28" s="149"/>
      <c r="C28" s="150"/>
      <c r="D28" s="150"/>
      <c r="E28" s="150"/>
      <c r="F28" s="150"/>
      <c r="G28" s="150"/>
      <c r="H28" s="150"/>
      <c r="I28" s="150"/>
      <c r="J28" s="146"/>
    </row>
    <row r="29" spans="1:10">
      <c r="A29" s="150"/>
      <c r="B29" s="149"/>
      <c r="C29" s="150"/>
      <c r="D29" s="150"/>
      <c r="E29" s="150"/>
      <c r="F29" s="150"/>
      <c r="G29" s="150"/>
      <c r="H29" s="150"/>
      <c r="I29" s="150"/>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37"/>
  <sheetViews>
    <sheetView topLeftCell="A35" zoomScale="125" zoomScaleNormal="125" zoomScalePageLayoutView="125" workbookViewId="0">
      <pane xSplit="1" topLeftCell="B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9" bestFit="1" customWidth="1"/>
    <col min="3" max="6" width="13.1640625" style="349" bestFit="1" customWidth="1"/>
    <col min="7" max="7" width="13.1640625" style="304" bestFit="1" customWidth="1"/>
    <col min="8" max="19" width="14.5" style="304" bestFit="1" customWidth="1"/>
    <col min="20" max="21" width="16.5" style="304" bestFit="1" customWidth="1"/>
    <col min="22" max="37" width="12.5" style="304"/>
    <col min="38" max="16384" width="12.5" style="5"/>
  </cols>
  <sheetData>
    <row r="1" spans="1:37">
      <c r="A1" s="269" t="s">
        <v>63</v>
      </c>
    </row>
    <row r="2" spans="1:37">
      <c r="A2" s="273" t="s">
        <v>705</v>
      </c>
    </row>
    <row r="3" spans="1:37">
      <c r="A3" s="273" t="s">
        <v>657</v>
      </c>
    </row>
    <row r="4" spans="1:37">
      <c r="A4" s="273" t="s">
        <v>592</v>
      </c>
    </row>
    <row r="6" spans="1:37">
      <c r="A6" s="6" t="s">
        <v>64</v>
      </c>
    </row>
    <row r="7" spans="1:37">
      <c r="A7" s="6" t="s">
        <v>65</v>
      </c>
    </row>
    <row r="8" spans="1:37">
      <c r="A8" s="78" t="s">
        <v>280</v>
      </c>
    </row>
    <row r="10" spans="1:37">
      <c r="AK10" s="305"/>
    </row>
    <row r="11" spans="1:37">
      <c r="B11" s="369" t="s">
        <v>7</v>
      </c>
      <c r="C11" s="369" t="s">
        <v>8</v>
      </c>
      <c r="D11" s="369" t="s">
        <v>9</v>
      </c>
      <c r="E11" s="369" t="s">
        <v>10</v>
      </c>
      <c r="F11" s="369" t="s">
        <v>11</v>
      </c>
      <c r="G11" s="324" t="s">
        <v>12</v>
      </c>
      <c r="H11" s="324" t="s">
        <v>13</v>
      </c>
      <c r="I11" s="324" t="s">
        <v>14</v>
      </c>
      <c r="J11" s="324" t="s">
        <v>15</v>
      </c>
      <c r="K11" s="324" t="s">
        <v>16</v>
      </c>
      <c r="L11" s="324" t="s">
        <v>17</v>
      </c>
      <c r="M11" s="324" t="s">
        <v>18</v>
      </c>
      <c r="N11" s="324" t="s">
        <v>19</v>
      </c>
      <c r="O11" s="324" t="s">
        <v>20</v>
      </c>
      <c r="P11" s="324" t="s">
        <v>21</v>
      </c>
      <c r="Q11" s="324" t="s">
        <v>22</v>
      </c>
      <c r="R11" s="324" t="s">
        <v>23</v>
      </c>
      <c r="S11" s="324" t="s">
        <v>24</v>
      </c>
      <c r="T11" s="324" t="s">
        <v>25</v>
      </c>
      <c r="U11" s="324" t="s">
        <v>26</v>
      </c>
      <c r="V11" s="324" t="s">
        <v>27</v>
      </c>
      <c r="W11" s="324" t="s">
        <v>28</v>
      </c>
      <c r="X11" s="324" t="s">
        <v>29</v>
      </c>
      <c r="Y11" s="324" t="s">
        <v>30</v>
      </c>
      <c r="Z11" s="324" t="s">
        <v>31</v>
      </c>
      <c r="AA11" s="324" t="s">
        <v>582</v>
      </c>
      <c r="AB11" s="324" t="s">
        <v>583</v>
      </c>
      <c r="AC11" s="324" t="s">
        <v>584</v>
      </c>
      <c r="AD11" s="324" t="s">
        <v>585</v>
      </c>
      <c r="AE11" s="324" t="s">
        <v>586</v>
      </c>
      <c r="AF11" s="324" t="s">
        <v>587</v>
      </c>
      <c r="AG11" s="324" t="s">
        <v>588</v>
      </c>
      <c r="AH11" s="324" t="s">
        <v>589</v>
      </c>
      <c r="AI11" s="324" t="s">
        <v>590</v>
      </c>
      <c r="AJ11" s="324" t="s">
        <v>591</v>
      </c>
      <c r="AK11" s="324" t="s">
        <v>594</v>
      </c>
    </row>
    <row r="14" spans="1:37">
      <c r="A14" s="6" t="s">
        <v>66</v>
      </c>
    </row>
    <row r="16" spans="1:37">
      <c r="A16" s="6" t="s">
        <v>32</v>
      </c>
    </row>
    <row r="17" spans="1:38" s="252" customFormat="1">
      <c r="A17" s="251" t="s">
        <v>67</v>
      </c>
      <c r="B17" s="349"/>
      <c r="C17" s="349"/>
      <c r="D17" s="349"/>
      <c r="E17" s="349"/>
      <c r="F17" s="349"/>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row>
    <row r="18" spans="1:38" s="252" customFormat="1">
      <c r="A18" s="251"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2" customFormat="1">
      <c r="A19" s="251"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2" customFormat="1">
      <c r="A20" s="251"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2" customFormat="1">
      <c r="A21" s="251"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2" customFormat="1">
      <c r="A22" s="251"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2" customFormat="1">
      <c r="A23" s="251"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2" customFormat="1">
      <c r="A24" s="251"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2" customFormat="1">
      <c r="A25" s="251"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2" customFormat="1">
      <c r="A26" s="251"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2" customFormat="1">
      <c r="A27" s="251"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2" customFormat="1">
      <c r="A28" s="251"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2" customFormat="1">
      <c r="A29" s="251"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2" customFormat="1">
      <c r="A30" s="251"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2" customFormat="1">
      <c r="A31" s="251"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2" customFormat="1">
      <c r="A32" s="251"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s="252" customFormat="1">
      <c r="A33" s="251"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s="252"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252" customFormat="1">
      <c r="A35" s="251" t="s">
        <v>728</v>
      </c>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252" customFormat="1">
      <c r="A36" s="507" t="s">
        <v>720</v>
      </c>
      <c r="G36" s="505">
        <v>119.422318</v>
      </c>
      <c r="H36" s="505">
        <v>97.146163999999999</v>
      </c>
      <c r="I36" s="505">
        <v>99.596817000000001</v>
      </c>
      <c r="J36" s="505">
        <v>113.324646</v>
      </c>
      <c r="K36" s="505">
        <v>104.775909</v>
      </c>
      <c r="L36" s="505">
        <v>97.294403000000003</v>
      </c>
      <c r="M36" s="505">
        <v>106.065636</v>
      </c>
      <c r="N36" s="505">
        <v>115.44637299999999</v>
      </c>
      <c r="O36" s="505">
        <v>116.77658099999999</v>
      </c>
      <c r="P36" s="505">
        <v>114.12762499999999</v>
      </c>
      <c r="Q36" s="505">
        <v>115.478157</v>
      </c>
      <c r="R36" s="505">
        <v>117.10189099999999</v>
      </c>
      <c r="S36" s="505">
        <v>117.762001</v>
      </c>
      <c r="T36" s="505">
        <v>119.27404799999999</v>
      </c>
      <c r="U36" s="505">
        <v>120.423889</v>
      </c>
      <c r="V36" s="505">
        <v>120.414345</v>
      </c>
      <c r="W36" s="505">
        <v>120.89241</v>
      </c>
      <c r="X36" s="505">
        <v>120.786911</v>
      </c>
      <c r="Y36" s="505">
        <v>121.17684199999999</v>
      </c>
      <c r="Z36" s="505">
        <v>121.45586400000001</v>
      </c>
      <c r="AA36" s="505">
        <v>121.449898</v>
      </c>
      <c r="AB36" s="505">
        <v>121.727806</v>
      </c>
      <c r="AC36" s="505">
        <v>121.82950599999999</v>
      </c>
      <c r="AD36" s="505">
        <v>121.998993</v>
      </c>
      <c r="AE36" s="505">
        <v>121.96416499999999</v>
      </c>
      <c r="AF36" s="505">
        <v>122.075119</v>
      </c>
      <c r="AG36" s="505">
        <v>121.99664300000001</v>
      </c>
      <c r="AH36" s="505">
        <v>122.05307000000001</v>
      </c>
      <c r="AI36" s="505">
        <v>122.02340700000001</v>
      </c>
      <c r="AJ36" s="505">
        <v>121.948792</v>
      </c>
      <c r="AK36" s="509">
        <v>8.0000000000000002E-3</v>
      </c>
      <c r="AL36"/>
    </row>
    <row r="37" spans="1:38" s="252" customFormat="1">
      <c r="A37" s="507" t="s">
        <v>721</v>
      </c>
      <c r="G37" s="505">
        <v>0.72999199999999997</v>
      </c>
      <c r="H37" s="505">
        <v>0.52198599999999995</v>
      </c>
      <c r="I37" s="505">
        <v>0.88637900000000003</v>
      </c>
      <c r="J37" s="505">
        <v>0.93574100000000004</v>
      </c>
      <c r="K37" s="505">
        <v>0.90872799999999998</v>
      </c>
      <c r="L37" s="505">
        <v>0.89195100000000005</v>
      </c>
      <c r="M37" s="505">
        <v>0.91010000000000002</v>
      </c>
      <c r="N37" s="505">
        <v>0.94341699999999995</v>
      </c>
      <c r="O37" s="505">
        <v>0.95231299999999997</v>
      </c>
      <c r="P37" s="505">
        <v>0.95503199999999999</v>
      </c>
      <c r="Q37" s="505">
        <v>0.97453000000000001</v>
      </c>
      <c r="R37" s="505">
        <v>0.98446900000000004</v>
      </c>
      <c r="S37" s="505">
        <v>0.98772099999999996</v>
      </c>
      <c r="T37" s="505">
        <v>0.99326499999999995</v>
      </c>
      <c r="U37" s="505">
        <v>0.90673300000000001</v>
      </c>
      <c r="V37" s="505">
        <v>0.73433099999999996</v>
      </c>
      <c r="W37" s="505">
        <v>0.65200100000000005</v>
      </c>
      <c r="X37" s="505">
        <v>0.611317</v>
      </c>
      <c r="Y37" s="505">
        <v>0.60940700000000003</v>
      </c>
      <c r="Z37" s="505">
        <v>0.60627900000000001</v>
      </c>
      <c r="AA37" s="505">
        <v>0.59982999999999997</v>
      </c>
      <c r="AB37" s="505">
        <v>0.59522399999999998</v>
      </c>
      <c r="AC37" s="505">
        <v>0.57520199999999999</v>
      </c>
      <c r="AD37" s="505">
        <v>0.57646799999999998</v>
      </c>
      <c r="AE37" s="505">
        <v>0.57510600000000001</v>
      </c>
      <c r="AF37" s="505">
        <v>0.57552999999999999</v>
      </c>
      <c r="AG37" s="505">
        <v>0.57625599999999999</v>
      </c>
      <c r="AH37" s="505">
        <v>0.575013</v>
      </c>
      <c r="AI37" s="505">
        <v>0.576457</v>
      </c>
      <c r="AJ37" s="505">
        <v>0.57467299999999999</v>
      </c>
      <c r="AK37" s="509">
        <v>3.0000000000000001E-3</v>
      </c>
      <c r="AL37"/>
    </row>
    <row r="38" spans="1:38" s="252" customFormat="1">
      <c r="A38" s="507" t="s">
        <v>722</v>
      </c>
      <c r="G38" s="505">
        <v>42.166781999999998</v>
      </c>
      <c r="H38" s="505">
        <v>58.207165000000003</v>
      </c>
      <c r="I38" s="505">
        <v>49.613377</v>
      </c>
      <c r="J38" s="505">
        <v>44.554977000000001</v>
      </c>
      <c r="K38" s="505">
        <v>55.905921999999997</v>
      </c>
      <c r="L38" s="505">
        <v>60.870280999999999</v>
      </c>
      <c r="M38" s="505">
        <v>60.002026000000001</v>
      </c>
      <c r="N38" s="505">
        <v>51.490718999999999</v>
      </c>
      <c r="O38" s="505">
        <v>49.303310000000003</v>
      </c>
      <c r="P38" s="505">
        <v>53.731116999999998</v>
      </c>
      <c r="Q38" s="505">
        <v>53.610474000000004</v>
      </c>
      <c r="R38" s="505">
        <v>57.971305999999998</v>
      </c>
      <c r="S38" s="505">
        <v>59.013370999999999</v>
      </c>
      <c r="T38" s="505">
        <v>62.899951999999999</v>
      </c>
      <c r="U38" s="505">
        <v>65.006966000000006</v>
      </c>
      <c r="V38" s="505">
        <v>66.697868</v>
      </c>
      <c r="W38" s="505">
        <v>74.020790000000005</v>
      </c>
      <c r="X38" s="505">
        <v>76.345528000000002</v>
      </c>
      <c r="Y38" s="505">
        <v>80.727965999999995</v>
      </c>
      <c r="Z38" s="505">
        <v>84.227669000000006</v>
      </c>
      <c r="AA38" s="505">
        <v>83.727928000000006</v>
      </c>
      <c r="AB38" s="505">
        <v>84.678352000000004</v>
      </c>
      <c r="AC38" s="505">
        <v>86.900818000000001</v>
      </c>
      <c r="AD38" s="505">
        <v>90.517287999999994</v>
      </c>
      <c r="AE38" s="505">
        <v>91.327110000000005</v>
      </c>
      <c r="AF38" s="505">
        <v>92.791565000000006</v>
      </c>
      <c r="AG38" s="505">
        <v>94.758133000000001</v>
      </c>
      <c r="AH38" s="505">
        <v>96.189705000000004</v>
      </c>
      <c r="AI38" s="505">
        <v>101.411957</v>
      </c>
      <c r="AJ38" s="505">
        <v>105.749313</v>
      </c>
      <c r="AK38" s="509">
        <v>2.1999999999999999E-2</v>
      </c>
      <c r="AL38"/>
    </row>
    <row r="39" spans="1:38" s="252" customFormat="1">
      <c r="A39" s="507" t="s">
        <v>723</v>
      </c>
      <c r="G39" s="505">
        <v>118.976997</v>
      </c>
      <c r="H39" s="505">
        <v>119.253998</v>
      </c>
      <c r="I39" s="505">
        <v>117.573662</v>
      </c>
      <c r="J39" s="505">
        <v>117.77639000000001</v>
      </c>
      <c r="K39" s="505">
        <v>120.93924699999999</v>
      </c>
      <c r="L39" s="505">
        <v>121.921547</v>
      </c>
      <c r="M39" s="505">
        <v>127.587891</v>
      </c>
      <c r="N39" s="505">
        <v>133.22305299999999</v>
      </c>
      <c r="O39" s="505">
        <v>138.120575</v>
      </c>
      <c r="P39" s="505">
        <v>139.24754300000001</v>
      </c>
      <c r="Q39" s="505">
        <v>139.247559</v>
      </c>
      <c r="R39" s="505">
        <v>139.24754300000001</v>
      </c>
      <c r="S39" s="505">
        <v>139.247559</v>
      </c>
      <c r="T39" s="505">
        <v>139.247559</v>
      </c>
      <c r="U39" s="505">
        <v>139.24754300000001</v>
      </c>
      <c r="V39" s="505">
        <v>139.24803199999999</v>
      </c>
      <c r="W39" s="505">
        <v>139.24754300000001</v>
      </c>
      <c r="X39" s="505">
        <v>139.24754300000001</v>
      </c>
      <c r="Y39" s="505">
        <v>139.24754300000001</v>
      </c>
      <c r="Z39" s="505">
        <v>139.247559</v>
      </c>
      <c r="AA39" s="505">
        <v>139.24754300000001</v>
      </c>
      <c r="AB39" s="505">
        <v>139.247559</v>
      </c>
      <c r="AC39" s="505">
        <v>139.247559</v>
      </c>
      <c r="AD39" s="505">
        <v>139.247559</v>
      </c>
      <c r="AE39" s="505">
        <v>139.247559</v>
      </c>
      <c r="AF39" s="505">
        <v>139.96159399999999</v>
      </c>
      <c r="AG39" s="505">
        <v>140.137497</v>
      </c>
      <c r="AH39" s="505">
        <v>140.13748200000001</v>
      </c>
      <c r="AI39" s="505">
        <v>140.91712999999999</v>
      </c>
      <c r="AJ39" s="505">
        <v>141.08175700000001</v>
      </c>
      <c r="AK39" s="509">
        <v>6.0000000000000001E-3</v>
      </c>
      <c r="AL39"/>
    </row>
    <row r="40" spans="1:38" s="252" customFormat="1">
      <c r="A40" s="507" t="s">
        <v>724</v>
      </c>
      <c r="G40" s="505">
        <v>-1.4766999999999999</v>
      </c>
      <c r="H40" s="505">
        <v>-1.4737</v>
      </c>
      <c r="I40" s="505">
        <v>-1.0969340000000001</v>
      </c>
      <c r="J40" s="505">
        <v>-1.096935</v>
      </c>
      <c r="K40" s="505">
        <v>-1.0947549999999999</v>
      </c>
      <c r="L40" s="505">
        <v>-1.0935109999999999</v>
      </c>
      <c r="M40" s="505">
        <v>-1.093512</v>
      </c>
      <c r="N40" s="505">
        <v>-1.093512</v>
      </c>
      <c r="O40" s="505">
        <v>-1.0935109999999999</v>
      </c>
      <c r="P40" s="505">
        <v>-1.0928960000000001</v>
      </c>
      <c r="Q40" s="505">
        <v>-1.09172</v>
      </c>
      <c r="R40" s="505">
        <v>-1.0916680000000001</v>
      </c>
      <c r="S40" s="505">
        <v>-1.0916680000000001</v>
      </c>
      <c r="T40" s="505">
        <v>-1.0916680000000001</v>
      </c>
      <c r="U40" s="505">
        <v>-1.0912500000000001</v>
      </c>
      <c r="V40" s="505">
        <v>-1.0912090000000001</v>
      </c>
      <c r="W40" s="505">
        <v>-1.0909009999999999</v>
      </c>
      <c r="X40" s="505">
        <v>-1.090862</v>
      </c>
      <c r="Y40" s="505">
        <v>-1.0907979999999999</v>
      </c>
      <c r="Z40" s="505">
        <v>-1.0906020000000001</v>
      </c>
      <c r="AA40" s="505">
        <v>-1.090476</v>
      </c>
      <c r="AB40" s="505">
        <v>-1.0903069999999999</v>
      </c>
      <c r="AC40" s="505">
        <v>-1.090247</v>
      </c>
      <c r="AD40" s="505">
        <v>-1.0900030000000001</v>
      </c>
      <c r="AE40" s="505">
        <v>-1.089869</v>
      </c>
      <c r="AF40" s="505">
        <v>-1.0898000000000001</v>
      </c>
      <c r="AG40" s="505">
        <v>-1.08945</v>
      </c>
      <c r="AH40" s="505">
        <v>-1.0893470000000001</v>
      </c>
      <c r="AI40" s="505">
        <v>-1.089294</v>
      </c>
      <c r="AJ40" s="505">
        <v>-1.0890470000000001</v>
      </c>
      <c r="AK40" s="509">
        <v>-1.0999999999999999E-2</v>
      </c>
      <c r="AL40"/>
    </row>
    <row r="41" spans="1:38" s="252" customFormat="1">
      <c r="A41" s="507" t="s">
        <v>725</v>
      </c>
      <c r="G41" s="505">
        <v>7.1661409999999997</v>
      </c>
      <c r="H41" s="505">
        <v>7.5904049999999996</v>
      </c>
      <c r="I41" s="505">
        <v>10.147888999999999</v>
      </c>
      <c r="J41" s="505">
        <v>10.515425</v>
      </c>
      <c r="K41" s="505">
        <v>13.716958</v>
      </c>
      <c r="L41" s="505">
        <v>19.010211999999999</v>
      </c>
      <c r="M41" s="505">
        <v>18.197227000000002</v>
      </c>
      <c r="N41" s="505">
        <v>18.438255000000002</v>
      </c>
      <c r="O41" s="505">
        <v>19.475401000000002</v>
      </c>
      <c r="P41" s="505">
        <v>22.293707000000001</v>
      </c>
      <c r="Q41" s="505">
        <v>26.678910999999999</v>
      </c>
      <c r="R41" s="505">
        <v>26.922118999999999</v>
      </c>
      <c r="S41" s="505">
        <v>27.519611000000001</v>
      </c>
      <c r="T41" s="505">
        <v>27.557182000000001</v>
      </c>
      <c r="U41" s="505">
        <v>27.701553000000001</v>
      </c>
      <c r="V41" s="505">
        <v>27.715686999999999</v>
      </c>
      <c r="W41" s="505">
        <v>27.508210999999999</v>
      </c>
      <c r="X41" s="505">
        <v>27.614253999999999</v>
      </c>
      <c r="Y41" s="505">
        <v>27.816343</v>
      </c>
      <c r="Z41" s="505">
        <v>27.852996999999998</v>
      </c>
      <c r="AA41" s="505">
        <v>28.268554999999999</v>
      </c>
      <c r="AB41" s="505">
        <v>28.387957</v>
      </c>
      <c r="AC41" s="505">
        <v>28.441918999999999</v>
      </c>
      <c r="AD41" s="505">
        <v>28.813364</v>
      </c>
      <c r="AE41" s="505">
        <v>29.220472000000001</v>
      </c>
      <c r="AF41" s="505">
        <v>29.730851999999999</v>
      </c>
      <c r="AG41" s="505">
        <v>30.856846000000001</v>
      </c>
      <c r="AH41" s="505">
        <v>32.838771999999999</v>
      </c>
      <c r="AI41" s="505">
        <v>34.683674000000003</v>
      </c>
      <c r="AJ41" s="505">
        <v>36.394348000000001</v>
      </c>
      <c r="AK41" s="509">
        <v>5.8000000000000003E-2</v>
      </c>
      <c r="AL41"/>
    </row>
    <row r="42" spans="1:38" s="252" customFormat="1">
      <c r="A42" s="507" t="s">
        <v>726</v>
      </c>
      <c r="G42" s="505">
        <v>0</v>
      </c>
      <c r="H42" s="505">
        <v>0</v>
      </c>
      <c r="I42" s="505">
        <v>0</v>
      </c>
      <c r="J42" s="505">
        <v>0</v>
      </c>
      <c r="K42" s="505">
        <v>0</v>
      </c>
      <c r="L42" s="505">
        <v>0</v>
      </c>
      <c r="M42" s="505">
        <v>0</v>
      </c>
      <c r="N42" s="505">
        <v>0</v>
      </c>
      <c r="O42" s="505">
        <v>0</v>
      </c>
      <c r="P42" s="505">
        <v>8.4309999999999993E-3</v>
      </c>
      <c r="Q42" s="505">
        <v>1.7389000000000002E-2</v>
      </c>
      <c r="R42" s="505">
        <v>1.7389000000000002E-2</v>
      </c>
      <c r="S42" s="505">
        <v>2.7011E-2</v>
      </c>
      <c r="T42" s="505">
        <v>2.7011E-2</v>
      </c>
      <c r="U42" s="505">
        <v>2.7011E-2</v>
      </c>
      <c r="V42" s="505">
        <v>2.7011E-2</v>
      </c>
      <c r="W42" s="505">
        <v>2.7011E-2</v>
      </c>
      <c r="X42" s="505">
        <v>2.7011E-2</v>
      </c>
      <c r="Y42" s="505">
        <v>2.7011E-2</v>
      </c>
      <c r="Z42" s="505">
        <v>2.7011E-2</v>
      </c>
      <c r="AA42" s="505">
        <v>2.7011E-2</v>
      </c>
      <c r="AB42" s="505">
        <v>2.7011E-2</v>
      </c>
      <c r="AC42" s="505">
        <v>2.7011E-2</v>
      </c>
      <c r="AD42" s="505">
        <v>2.7011E-2</v>
      </c>
      <c r="AE42" s="505">
        <v>2.7011E-2</v>
      </c>
      <c r="AF42" s="505">
        <v>2.7011E-2</v>
      </c>
      <c r="AG42" s="505">
        <v>3.6249000000000003E-2</v>
      </c>
      <c r="AH42" s="505">
        <v>4.5372000000000003E-2</v>
      </c>
      <c r="AI42" s="505">
        <v>5.4299E-2</v>
      </c>
      <c r="AJ42" s="505">
        <v>6.2770000000000006E-2</v>
      </c>
      <c r="AK42" s="505" t="s">
        <v>41</v>
      </c>
      <c r="AL42"/>
    </row>
    <row r="43" spans="1:38" s="252" customFormat="1">
      <c r="A43" s="508" t="s">
        <v>727</v>
      </c>
      <c r="G43" s="506">
        <v>286.98550399999999</v>
      </c>
      <c r="H43" s="506">
        <v>281.24603300000001</v>
      </c>
      <c r="I43" s="506">
        <v>276.72119099999998</v>
      </c>
      <c r="J43" s="506">
        <v>286.01025399999997</v>
      </c>
      <c r="K43" s="506">
        <v>295.15200800000002</v>
      </c>
      <c r="L43" s="506">
        <v>298.89489700000001</v>
      </c>
      <c r="M43" s="506">
        <v>311.66940299999999</v>
      </c>
      <c r="N43" s="506">
        <v>318.44833399999999</v>
      </c>
      <c r="O43" s="506">
        <v>323.53466800000001</v>
      </c>
      <c r="P43" s="506">
        <v>329.27056900000002</v>
      </c>
      <c r="Q43" s="506">
        <v>334.915344</v>
      </c>
      <c r="R43" s="506">
        <v>341.15304600000002</v>
      </c>
      <c r="S43" s="506">
        <v>343.46560699999998</v>
      </c>
      <c r="T43" s="506">
        <v>348.90734900000001</v>
      </c>
      <c r="U43" s="506">
        <v>352.222443</v>
      </c>
      <c r="V43" s="506">
        <v>353.74606299999999</v>
      </c>
      <c r="W43" s="506">
        <v>361.25704999999999</v>
      </c>
      <c r="X43" s="506">
        <v>363.541718</v>
      </c>
      <c r="Y43" s="506">
        <v>368.514343</v>
      </c>
      <c r="Z43" s="506">
        <v>372.326752</v>
      </c>
      <c r="AA43" s="506">
        <v>372.23028599999998</v>
      </c>
      <c r="AB43" s="506">
        <v>373.57360799999998</v>
      </c>
      <c r="AC43" s="506">
        <v>375.93179300000003</v>
      </c>
      <c r="AD43" s="506">
        <v>380.09066799999999</v>
      </c>
      <c r="AE43" s="506">
        <v>381.271545</v>
      </c>
      <c r="AF43" s="506">
        <v>384.07186899999999</v>
      </c>
      <c r="AG43" s="506">
        <v>387.272156</v>
      </c>
      <c r="AH43" s="506">
        <v>390.75006100000002</v>
      </c>
      <c r="AI43" s="506">
        <v>398.57763699999998</v>
      </c>
      <c r="AJ43" s="506">
        <v>404.72262599999999</v>
      </c>
      <c r="AK43" s="510">
        <v>1.2999999999999999E-2</v>
      </c>
      <c r="AL43"/>
    </row>
    <row r="44" spans="1:38" s="252" customFormat="1">
      <c r="A44" s="251"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252" customFormat="1">
      <c r="A45" s="251"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252" customFormat="1">
      <c r="A46" s="251"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s="254" customFormat="1">
      <c r="B47" s="369" t="s">
        <v>7</v>
      </c>
      <c r="C47" s="369" t="s">
        <v>8</v>
      </c>
      <c r="D47" s="369" t="s">
        <v>9</v>
      </c>
      <c r="E47" s="369" t="s">
        <v>10</v>
      </c>
      <c r="F47" s="369" t="s">
        <v>11</v>
      </c>
      <c r="G47" s="328" t="s">
        <v>12</v>
      </c>
      <c r="H47" s="328" t="s">
        <v>13</v>
      </c>
      <c r="I47" s="328" t="s">
        <v>14</v>
      </c>
      <c r="J47" s="328" t="s">
        <v>15</v>
      </c>
      <c r="K47" s="328" t="s">
        <v>16</v>
      </c>
      <c r="L47" s="328" t="s">
        <v>17</v>
      </c>
      <c r="M47" s="328" t="s">
        <v>18</v>
      </c>
      <c r="N47" s="328" t="s">
        <v>19</v>
      </c>
      <c r="O47" s="328" t="s">
        <v>20</v>
      </c>
      <c r="P47" s="328" t="s">
        <v>21</v>
      </c>
      <c r="Q47" s="328" t="s">
        <v>22</v>
      </c>
      <c r="R47" s="328" t="s">
        <v>23</v>
      </c>
      <c r="S47" s="328" t="s">
        <v>24</v>
      </c>
      <c r="T47" s="328" t="s">
        <v>25</v>
      </c>
      <c r="U47" s="328" t="s">
        <v>26</v>
      </c>
      <c r="V47" s="328" t="s">
        <v>27</v>
      </c>
      <c r="W47" s="328" t="s">
        <v>28</v>
      </c>
      <c r="X47" s="328" t="s">
        <v>29</v>
      </c>
      <c r="Y47" s="328" t="s">
        <v>30</v>
      </c>
      <c r="Z47" s="328" t="s">
        <v>31</v>
      </c>
      <c r="AA47" s="328" t="s">
        <v>582</v>
      </c>
      <c r="AB47" s="328" t="s">
        <v>583</v>
      </c>
      <c r="AC47" s="328" t="s">
        <v>584</v>
      </c>
      <c r="AD47" s="328" t="s">
        <v>585</v>
      </c>
      <c r="AE47" s="328" t="s">
        <v>586</v>
      </c>
      <c r="AF47" s="328" t="s">
        <v>587</v>
      </c>
      <c r="AG47" s="328" t="s">
        <v>588</v>
      </c>
      <c r="AH47" s="328" t="s">
        <v>589</v>
      </c>
      <c r="AI47" s="328" t="s">
        <v>590</v>
      </c>
      <c r="AJ47" s="328" t="s">
        <v>591</v>
      </c>
      <c r="AK47" s="328" t="s">
        <v>594</v>
      </c>
      <c r="AL47" s="254" t="s">
        <v>744</v>
      </c>
    </row>
    <row r="48" spans="1:38" s="256" customFormat="1">
      <c r="A48" s="255" t="s">
        <v>745</v>
      </c>
      <c r="B48" s="370"/>
      <c r="C48" s="370"/>
      <c r="D48" s="370"/>
      <c r="E48" s="370"/>
      <c r="F48" s="370"/>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row>
    <row r="49" spans="1:38" s="256" customFormat="1">
      <c r="A49" s="255" t="s">
        <v>68</v>
      </c>
      <c r="B49" s="512">
        <v>34.287999999999997</v>
      </c>
      <c r="C49" s="512">
        <v>35.420999999999999</v>
      </c>
      <c r="D49" s="512">
        <v>31.776</v>
      </c>
      <c r="E49" s="512">
        <v>25.599</v>
      </c>
      <c r="F49" s="512">
        <v>25.459</v>
      </c>
      <c r="G49" s="490">
        <f>G36*$AL49</f>
        <v>25.352051249786886</v>
      </c>
      <c r="H49" s="490">
        <f t="shared" ref="H49:AJ51" si="0">H36*$AL49</f>
        <v>20.623067527865281</v>
      </c>
      <c r="I49" s="490">
        <f t="shared" si="0"/>
        <v>21.14331434179368</v>
      </c>
      <c r="J49" s="490">
        <f t="shared" si="0"/>
        <v>24.057582212195516</v>
      </c>
      <c r="K49" s="490">
        <f t="shared" si="0"/>
        <v>22.242778897584344</v>
      </c>
      <c r="L49" s="490">
        <f t="shared" si="0"/>
        <v>20.654537045357124</v>
      </c>
      <c r="M49" s="490">
        <f t="shared" si="0"/>
        <v>22.516573825951365</v>
      </c>
      <c r="N49" s="490">
        <f t="shared" si="0"/>
        <v>24.508001635824993</v>
      </c>
      <c r="O49" s="490">
        <f t="shared" si="0"/>
        <v>24.790390237500574</v>
      </c>
      <c r="P49" s="490">
        <f t="shared" si="0"/>
        <v>24.228045866740409</v>
      </c>
      <c r="Q49" s="490">
        <f t="shared" si="0"/>
        <v>24.514749031206513</v>
      </c>
      <c r="R49" s="490">
        <f t="shared" si="0"/>
        <v>24.859449990570081</v>
      </c>
      <c r="S49" s="490">
        <f t="shared" si="0"/>
        <v>24.999584119858184</v>
      </c>
      <c r="T49" s="490">
        <f t="shared" si="0"/>
        <v>25.320575151334282</v>
      </c>
      <c r="U49" s="490">
        <f t="shared" si="0"/>
        <v>25.564673812700967</v>
      </c>
      <c r="V49" s="490">
        <f t="shared" si="0"/>
        <v>25.56264772594281</v>
      </c>
      <c r="W49" s="490">
        <f t="shared" si="0"/>
        <v>25.664135693884692</v>
      </c>
      <c r="X49" s="490">
        <f t="shared" si="0"/>
        <v>25.641739410680735</v>
      </c>
      <c r="Y49" s="490">
        <f t="shared" si="0"/>
        <v>25.72451749489009</v>
      </c>
      <c r="Z49" s="490">
        <f t="shared" si="0"/>
        <v>25.78375081209817</v>
      </c>
      <c r="AA49" s="490">
        <f t="shared" si="0"/>
        <v>25.782484295585267</v>
      </c>
      <c r="AB49" s="490">
        <f t="shared" si="0"/>
        <v>25.841481122784064</v>
      </c>
      <c r="AC49" s="490">
        <f t="shared" si="0"/>
        <v>25.863070919861215</v>
      </c>
      <c r="AD49" s="490">
        <f t="shared" si="0"/>
        <v>25.899051155232069</v>
      </c>
      <c r="AE49" s="490">
        <f t="shared" si="0"/>
        <v>25.891657551961632</v>
      </c>
      <c r="AF49" s="490">
        <f t="shared" si="0"/>
        <v>25.91521187197047</v>
      </c>
      <c r="AG49" s="490">
        <f t="shared" si="0"/>
        <v>25.898552275948575</v>
      </c>
      <c r="AH49" s="490">
        <f t="shared" si="0"/>
        <v>25.91053111055696</v>
      </c>
      <c r="AI49" s="490">
        <f t="shared" si="0"/>
        <v>25.904233980264927</v>
      </c>
      <c r="AJ49" s="490">
        <f t="shared" si="0"/>
        <v>25.888394032291359</v>
      </c>
      <c r="AK49"/>
      <c r="AL49" s="511">
        <v>0.21228905680583829</v>
      </c>
    </row>
    <row r="50" spans="1:38" s="256" customFormat="1">
      <c r="A50" s="255" t="s">
        <v>69</v>
      </c>
      <c r="B50" s="513">
        <v>0.83899999999999997</v>
      </c>
      <c r="C50" s="513">
        <v>2.097</v>
      </c>
      <c r="D50" s="513">
        <v>1.1499999999999999</v>
      </c>
      <c r="E50" s="513">
        <v>1.0880000000000001</v>
      </c>
      <c r="F50" s="513">
        <v>1.2929999999999999</v>
      </c>
      <c r="G50" s="490">
        <f t="shared" ref="G50:V51" si="1">G37*$AL50</f>
        <v>0.48041326001355306</v>
      </c>
      <c r="H50" s="490">
        <f t="shared" si="1"/>
        <v>0.34352293715744076</v>
      </c>
      <c r="I50" s="490">
        <f t="shared" si="1"/>
        <v>0.58333272830051996</v>
      </c>
      <c r="J50" s="490">
        <f t="shared" si="1"/>
        <v>0.61581823408796554</v>
      </c>
      <c r="K50" s="490">
        <f t="shared" si="1"/>
        <v>0.59804077434491887</v>
      </c>
      <c r="L50" s="490">
        <f t="shared" si="1"/>
        <v>0.5869997036712028</v>
      </c>
      <c r="M50" s="490">
        <f t="shared" si="1"/>
        <v>0.59894369792865487</v>
      </c>
      <c r="N50" s="490">
        <f t="shared" si="1"/>
        <v>0.62086986778239506</v>
      </c>
      <c r="O50" s="490">
        <f t="shared" si="1"/>
        <v>0.62672439271017588</v>
      </c>
      <c r="P50" s="490">
        <f t="shared" si="1"/>
        <v>0.62851378718843987</v>
      </c>
      <c r="Q50" s="490">
        <f t="shared" si="1"/>
        <v>0.64134556855555658</v>
      </c>
      <c r="R50" s="490">
        <f t="shared" si="1"/>
        <v>0.64788649967709588</v>
      </c>
      <c r="S50" s="490">
        <f t="shared" si="1"/>
        <v>0.65002666548927468</v>
      </c>
      <c r="T50" s="490">
        <f t="shared" si="1"/>
        <v>0.65367521384804461</v>
      </c>
      <c r="U50" s="490">
        <f t="shared" si="1"/>
        <v>0.59672784974611914</v>
      </c>
      <c r="V50" s="490">
        <f t="shared" si="1"/>
        <v>0.48326878875249646</v>
      </c>
      <c r="W50" s="490">
        <f t="shared" si="0"/>
        <v>0.42908679265265459</v>
      </c>
      <c r="X50" s="490">
        <f t="shared" si="0"/>
        <v>0.40231234434309582</v>
      </c>
      <c r="Y50" s="490">
        <f t="shared" si="0"/>
        <v>0.40105535888760335</v>
      </c>
      <c r="Z50" s="490">
        <f t="shared" si="0"/>
        <v>0.39899679841389624</v>
      </c>
      <c r="AA50" s="490">
        <f t="shared" si="0"/>
        <v>0.39475266270579612</v>
      </c>
      <c r="AB50" s="490">
        <f t="shared" si="0"/>
        <v>0.39172141924611104</v>
      </c>
      <c r="AC50" s="490">
        <f t="shared" si="0"/>
        <v>0.37854478951319431</v>
      </c>
      <c r="AD50" s="490">
        <f t="shared" si="0"/>
        <v>0.3793779536946883</v>
      </c>
      <c r="AE50" s="490">
        <f t="shared" si="0"/>
        <v>0.37848161118663554</v>
      </c>
      <c r="AF50" s="490">
        <f t="shared" si="0"/>
        <v>0.37876064879560351</v>
      </c>
      <c r="AG50" s="490">
        <f t="shared" si="0"/>
        <v>0.37923843489020431</v>
      </c>
      <c r="AH50" s="490">
        <f t="shared" si="0"/>
        <v>0.37842040718278169</v>
      </c>
      <c r="AI50" s="490">
        <f t="shared" si="0"/>
        <v>0.37937071451143678</v>
      </c>
      <c r="AJ50" s="490">
        <f t="shared" si="0"/>
        <v>0.37819665060955265</v>
      </c>
      <c r="AK50"/>
      <c r="AL50" s="511">
        <v>0.6581075683206844</v>
      </c>
    </row>
    <row r="51" spans="1:38" s="256" customFormat="1">
      <c r="A51" s="255" t="s">
        <v>76</v>
      </c>
      <c r="B51" s="513">
        <v>7.2149999999999999</v>
      </c>
      <c r="C51" s="513">
        <v>10.904</v>
      </c>
      <c r="D51" s="513">
        <v>9.3149999999999995</v>
      </c>
      <c r="E51" s="513">
        <v>12.201000000000001</v>
      </c>
      <c r="F51" s="513">
        <v>16.998999999999999</v>
      </c>
      <c r="G51" s="490">
        <f t="shared" si="1"/>
        <v>19.867388483021028</v>
      </c>
      <c r="H51" s="490">
        <f t="shared" si="0"/>
        <v>27.425008613422403</v>
      </c>
      <c r="I51" s="490">
        <f t="shared" si="0"/>
        <v>23.37594163134337</v>
      </c>
      <c r="J51" s="490">
        <f t="shared" si="0"/>
        <v>20.992615393583193</v>
      </c>
      <c r="K51" s="490">
        <f t="shared" si="0"/>
        <v>26.340750187564037</v>
      </c>
      <c r="L51" s="490">
        <f t="shared" si="0"/>
        <v>28.679767872674127</v>
      </c>
      <c r="M51" s="490">
        <f t="shared" si="0"/>
        <v>28.270679045660355</v>
      </c>
      <c r="N51" s="490">
        <f t="shared" si="0"/>
        <v>24.260473982649945</v>
      </c>
      <c r="O51" s="490">
        <f t="shared" si="0"/>
        <v>23.229849820382675</v>
      </c>
      <c r="P51" s="490">
        <f t="shared" si="0"/>
        <v>25.316064552084036</v>
      </c>
      <c r="Q51" s="490">
        <f t="shared" si="0"/>
        <v>25.259222145927527</v>
      </c>
      <c r="R51" s="490">
        <f t="shared" si="0"/>
        <v>27.313880797687805</v>
      </c>
      <c r="S51" s="490">
        <f t="shared" si="0"/>
        <v>27.804862304874181</v>
      </c>
      <c r="T51" s="490">
        <f t="shared" si="0"/>
        <v>29.636071871630502</v>
      </c>
      <c r="U51" s="490">
        <f t="shared" si="0"/>
        <v>30.628816958916609</v>
      </c>
      <c r="V51" s="490">
        <f t="shared" si="0"/>
        <v>31.425505853049366</v>
      </c>
      <c r="W51" s="490">
        <f t="shared" si="0"/>
        <v>34.875788974129399</v>
      </c>
      <c r="X51" s="490">
        <f t="shared" si="0"/>
        <v>35.971117352928651</v>
      </c>
      <c r="Y51" s="490">
        <f t="shared" si="0"/>
        <v>38.03595593247104</v>
      </c>
      <c r="Z51" s="490">
        <f t="shared" si="0"/>
        <v>39.684883258160589</v>
      </c>
      <c r="AA51" s="490">
        <f t="shared" si="0"/>
        <v>39.449424251877076</v>
      </c>
      <c r="AB51" s="490">
        <f t="shared" si="0"/>
        <v>39.897227995392214</v>
      </c>
      <c r="AC51" s="490">
        <f t="shared" si="0"/>
        <v>40.944369686505986</v>
      </c>
      <c r="AD51" s="490">
        <f t="shared" si="0"/>
        <v>42.6483131941512</v>
      </c>
      <c r="AE51" s="490">
        <f t="shared" si="0"/>
        <v>43.029870607664456</v>
      </c>
      <c r="AF51" s="490">
        <f t="shared" si="0"/>
        <v>43.719866263508017</v>
      </c>
      <c r="AG51" s="490">
        <f t="shared" si="0"/>
        <v>44.646438522075854</v>
      </c>
      <c r="AH51" s="490">
        <f t="shared" si="0"/>
        <v>45.320940955422927</v>
      </c>
      <c r="AI51" s="490">
        <f t="shared" si="0"/>
        <v>47.781468041417618</v>
      </c>
      <c r="AJ51" s="490">
        <f t="shared" si="0"/>
        <v>49.825065692316429</v>
      </c>
      <c r="AK51"/>
      <c r="AL51" s="511">
        <v>0.4711620745216229</v>
      </c>
    </row>
    <row r="52" spans="1:38" s="256" customFormat="1">
      <c r="A52" s="255" t="s">
        <v>71</v>
      </c>
      <c r="B52" s="514">
        <v>27.594000000000001</v>
      </c>
      <c r="C52" s="514">
        <v>27.268000000000001</v>
      </c>
      <c r="D52" s="514">
        <v>27.931000000000001</v>
      </c>
      <c r="E52" s="514">
        <v>28.212</v>
      </c>
      <c r="F52" s="514">
        <v>26.571999999999999</v>
      </c>
      <c r="G52" s="490">
        <f t="shared" ref="G52:AJ52" si="2">G39*$AL52</f>
        <v>27.329016210899997</v>
      </c>
      <c r="H52" s="490">
        <f t="shared" si="2"/>
        <v>27.392643340599996</v>
      </c>
      <c r="I52" s="490">
        <f t="shared" si="2"/>
        <v>27.006670161399999</v>
      </c>
      <c r="J52" s="490">
        <f t="shared" si="2"/>
        <v>27.053236782999999</v>
      </c>
      <c r="K52" s="490">
        <f t="shared" si="2"/>
        <v>27.779745035899996</v>
      </c>
      <c r="L52" s="490">
        <f t="shared" si="2"/>
        <v>28.0053793459</v>
      </c>
      <c r="M52" s="490">
        <f t="shared" si="2"/>
        <v>29.306938562699997</v>
      </c>
      <c r="N52" s="490">
        <f t="shared" si="2"/>
        <v>30.601335274099998</v>
      </c>
      <c r="O52" s="490">
        <f t="shared" si="2"/>
        <v>31.726296077499999</v>
      </c>
      <c r="P52" s="490">
        <f t="shared" si="2"/>
        <v>31.985160627100001</v>
      </c>
      <c r="Q52" s="490">
        <f t="shared" si="2"/>
        <v>31.985164302299996</v>
      </c>
      <c r="R52" s="490">
        <f t="shared" si="2"/>
        <v>31.985160627100001</v>
      </c>
      <c r="S52" s="490">
        <f t="shared" si="2"/>
        <v>31.985164302299996</v>
      </c>
      <c r="T52" s="490">
        <f t="shared" si="2"/>
        <v>31.985164302299996</v>
      </c>
      <c r="U52" s="490">
        <f t="shared" si="2"/>
        <v>31.985160627100001</v>
      </c>
      <c r="V52" s="490">
        <f t="shared" si="2"/>
        <v>31.985272950399999</v>
      </c>
      <c r="W52" s="490">
        <f t="shared" si="2"/>
        <v>31.985160627100001</v>
      </c>
      <c r="X52" s="490">
        <f t="shared" si="2"/>
        <v>31.985160627100001</v>
      </c>
      <c r="Y52" s="490">
        <f t="shared" si="2"/>
        <v>31.985160627100001</v>
      </c>
      <c r="Z52" s="490">
        <f t="shared" si="2"/>
        <v>31.985164302299996</v>
      </c>
      <c r="AA52" s="490">
        <f t="shared" si="2"/>
        <v>31.985160627100001</v>
      </c>
      <c r="AB52" s="490">
        <f t="shared" si="2"/>
        <v>31.985164302299996</v>
      </c>
      <c r="AC52" s="490">
        <f t="shared" si="2"/>
        <v>31.985164302299996</v>
      </c>
      <c r="AD52" s="490">
        <f t="shared" si="2"/>
        <v>31.985164302299996</v>
      </c>
      <c r="AE52" s="490">
        <f t="shared" si="2"/>
        <v>31.985164302299996</v>
      </c>
      <c r="AF52" s="490">
        <f t="shared" si="2"/>
        <v>32.149178141799993</v>
      </c>
      <c r="AG52" s="490">
        <f t="shared" si="2"/>
        <v>32.189583060899999</v>
      </c>
      <c r="AH52" s="490">
        <f t="shared" si="2"/>
        <v>32.1895796154</v>
      </c>
      <c r="AI52" s="490">
        <f t="shared" si="2"/>
        <v>32.368664760999998</v>
      </c>
      <c r="AJ52" s="490">
        <f t="shared" si="2"/>
        <v>32.406479582899998</v>
      </c>
      <c r="AK52"/>
      <c r="AL52" s="511">
        <v>0.22969999999999999</v>
      </c>
    </row>
    <row r="53" spans="1:38" s="256" customFormat="1">
      <c r="A53" s="255" t="s">
        <v>326</v>
      </c>
      <c r="B53" s="515"/>
      <c r="C53" s="515"/>
      <c r="D53" s="515"/>
      <c r="E53" s="515"/>
      <c r="F53" s="515"/>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c r="AL53" s="511"/>
    </row>
    <row r="54" spans="1:38" s="256" customFormat="1">
      <c r="A54" s="255" t="s">
        <v>628</v>
      </c>
      <c r="B54" s="514">
        <v>3.81</v>
      </c>
      <c r="C54" s="514">
        <v>3.8140000000000001</v>
      </c>
      <c r="D54" s="514">
        <v>3.7090000000000001</v>
      </c>
      <c r="E54" s="514">
        <v>3.8959999999999999</v>
      </c>
      <c r="F54" s="514">
        <v>3.72</v>
      </c>
      <c r="G54" s="490">
        <f>EIA_RE_aeo2014!G79</f>
        <v>3.26449486167109</v>
      </c>
      <c r="H54" s="490">
        <f>EIA_RE_aeo2014!H79</f>
        <v>3.4065563007301862</v>
      </c>
      <c r="I54" s="490">
        <f>EIA_RE_aeo2014!I79</f>
        <v>4.2134593703400034</v>
      </c>
      <c r="J54" s="490">
        <f>EIA_RE_aeo2014!J79</f>
        <v>4.3723772015580407</v>
      </c>
      <c r="K54" s="490">
        <f>EIA_RE_aeo2014!K79</f>
        <v>5.38953086785639</v>
      </c>
      <c r="L54" s="490">
        <f>EIA_RE_aeo2014!L79</f>
        <v>7.0078490455373235</v>
      </c>
      <c r="M54" s="490">
        <f>EIA_RE_aeo2014!M79</f>
        <v>6.8014316139061606</v>
      </c>
      <c r="N54" s="490">
        <f>EIA_RE_aeo2014!N79</f>
        <v>6.8875652564726613</v>
      </c>
      <c r="O54" s="490">
        <f>EIA_RE_aeo2014!O79</f>
        <v>7.211477180479676</v>
      </c>
      <c r="P54" s="490">
        <f>EIA_RE_aeo2014!P79</f>
        <v>8.0569249819092708</v>
      </c>
      <c r="Q54" s="490">
        <f>EIA_RE_aeo2014!Q79</f>
        <v>9.3582540787086046</v>
      </c>
      <c r="R54" s="490">
        <f>EIA_RE_aeo2014!R79</f>
        <v>9.4666147946524273</v>
      </c>
      <c r="S54" s="490">
        <f>EIA_RE_aeo2014!S79</f>
        <v>9.675956206401521</v>
      </c>
      <c r="T54" s="490">
        <f>EIA_RE_aeo2014!T79</f>
        <v>9.7192964149438819</v>
      </c>
      <c r="U54" s="490">
        <f>EIA_RE_aeo2014!U79</f>
        <v>9.7939891453223655</v>
      </c>
      <c r="V54" s="490">
        <f>EIA_RE_aeo2014!V79</f>
        <v>9.8388079998701503</v>
      </c>
      <c r="W54" s="490">
        <f>EIA_RE_aeo2014!W79</f>
        <v>9.8155588831575589</v>
      </c>
      <c r="X54" s="490">
        <f>EIA_RE_aeo2014!X79</f>
        <v>9.8816990722011155</v>
      </c>
      <c r="Y54" s="490">
        <f>EIA_RE_aeo2014!Y79</f>
        <v>9.9764573361466997</v>
      </c>
      <c r="Z54" s="490">
        <f>EIA_RE_aeo2014!Z79</f>
        <v>10.025834750937269</v>
      </c>
      <c r="AA54" s="490">
        <f>EIA_RE_aeo2014!AA79</f>
        <v>10.186943700629067</v>
      </c>
      <c r="AB54" s="490">
        <f>EIA_RE_aeo2014!AB79</f>
        <v>10.257598512677337</v>
      </c>
      <c r="AC54" s="490">
        <f>EIA_RE_aeo2014!AC79</f>
        <v>10.31570335624065</v>
      </c>
      <c r="AD54" s="490">
        <f>EIA_RE_aeo2014!AD79</f>
        <v>10.478108310869807</v>
      </c>
      <c r="AE54" s="490">
        <f>EIA_RE_aeo2014!AE79</f>
        <v>10.647588596685925</v>
      </c>
      <c r="AF54" s="490">
        <f>EIA_RE_aeo2014!AF79</f>
        <v>10.84819597471799</v>
      </c>
      <c r="AG54" s="490">
        <f>EIA_RE_aeo2014!AG79</f>
        <v>11.229113736993549</v>
      </c>
      <c r="AH54" s="490">
        <f>EIA_RE_aeo2014!AH79</f>
        <v>11.858122970453804</v>
      </c>
      <c r="AI54" s="490">
        <f>EIA_RE_aeo2014!AI79</f>
        <v>12.449138841356355</v>
      </c>
      <c r="AJ54" s="490">
        <f>EIA_RE_aeo2014!AJ79</f>
        <v>13.000448371759393</v>
      </c>
      <c r="AK54"/>
      <c r="AL54" s="511">
        <v>0.28717149066307118</v>
      </c>
    </row>
    <row r="55" spans="1:38" s="256" customFormat="1">
      <c r="A55" s="255" t="s">
        <v>629</v>
      </c>
      <c r="B55" s="514">
        <v>0.49099999999999999</v>
      </c>
      <c r="C55" s="514">
        <v>0.47699999999999998</v>
      </c>
      <c r="D55" s="514">
        <v>0.434</v>
      </c>
      <c r="E55" s="514">
        <v>0.42</v>
      </c>
      <c r="F55" s="514">
        <v>0.41399999999999998</v>
      </c>
      <c r="G55" s="490">
        <f t="shared" ref="G55:V55" si="3">G42*$AL55</f>
        <v>0</v>
      </c>
      <c r="H55" s="490">
        <f t="shared" si="3"/>
        <v>0</v>
      </c>
      <c r="I55" s="490">
        <f t="shared" si="3"/>
        <v>0</v>
      </c>
      <c r="J55" s="490">
        <f t="shared" si="3"/>
        <v>0</v>
      </c>
      <c r="K55" s="490">
        <f t="shared" si="3"/>
        <v>0</v>
      </c>
      <c r="L55" s="490">
        <f t="shared" si="3"/>
        <v>0</v>
      </c>
      <c r="M55" s="490">
        <f t="shared" si="3"/>
        <v>0</v>
      </c>
      <c r="N55" s="490">
        <f t="shared" si="3"/>
        <v>0</v>
      </c>
      <c r="O55" s="490">
        <f t="shared" si="3"/>
        <v>0</v>
      </c>
      <c r="P55" s="490">
        <f t="shared" si="3"/>
        <v>4.4212401417152384E-3</v>
      </c>
      <c r="Q55" s="490">
        <f t="shared" si="3"/>
        <v>9.1188405674636815E-3</v>
      </c>
      <c r="R55" s="490">
        <f t="shared" si="3"/>
        <v>9.1188405674636815E-3</v>
      </c>
      <c r="S55" s="490">
        <f t="shared" si="3"/>
        <v>1.4164644463037637E-2</v>
      </c>
      <c r="T55" s="490">
        <f t="shared" si="3"/>
        <v>1.4164644463037637E-2</v>
      </c>
      <c r="U55" s="490">
        <f t="shared" si="3"/>
        <v>1.4164644463037637E-2</v>
      </c>
      <c r="V55" s="490">
        <f t="shared" si="3"/>
        <v>1.4164644463037637E-2</v>
      </c>
      <c r="W55" s="490">
        <f t="shared" ref="W55:AJ55" si="4">W42*$AL55</f>
        <v>1.4164644463037637E-2</v>
      </c>
      <c r="X55" s="490">
        <f t="shared" si="4"/>
        <v>1.4164644463037637E-2</v>
      </c>
      <c r="Y55" s="490">
        <f t="shared" si="4"/>
        <v>1.4164644463037637E-2</v>
      </c>
      <c r="Z55" s="490">
        <f t="shared" si="4"/>
        <v>1.4164644463037637E-2</v>
      </c>
      <c r="AA55" s="490">
        <f t="shared" si="4"/>
        <v>1.4164644463037637E-2</v>
      </c>
      <c r="AB55" s="490">
        <f t="shared" si="4"/>
        <v>1.4164644463037637E-2</v>
      </c>
      <c r="AC55" s="490">
        <f t="shared" si="4"/>
        <v>1.4164644463037637E-2</v>
      </c>
      <c r="AD55" s="490">
        <f t="shared" si="4"/>
        <v>1.4164644463037637E-2</v>
      </c>
      <c r="AE55" s="490">
        <f t="shared" si="4"/>
        <v>1.4164644463037637E-2</v>
      </c>
      <c r="AF55" s="490">
        <f t="shared" si="4"/>
        <v>1.4164644463037637E-2</v>
      </c>
      <c r="AG55" s="490">
        <f t="shared" si="4"/>
        <v>1.9009077677266718E-2</v>
      </c>
      <c r="AH55" s="490">
        <f t="shared" si="4"/>
        <v>2.3793204567655536E-2</v>
      </c>
      <c r="AI55" s="490">
        <f t="shared" si="4"/>
        <v>2.8474548506107904E-2</v>
      </c>
      <c r="AJ55" s="490">
        <f t="shared" si="4"/>
        <v>3.2916764760463235E-2</v>
      </c>
      <c r="AK55"/>
      <c r="AL55" s="511">
        <v>0.52440281600228189</v>
      </c>
    </row>
    <row r="56" spans="1:38" s="256" customFormat="1">
      <c r="A56" s="255" t="s">
        <v>82</v>
      </c>
      <c r="B56" s="516">
        <v>73.069999999999993</v>
      </c>
      <c r="C56" s="516">
        <v>78.361000000000004</v>
      </c>
      <c r="D56" s="516">
        <v>72.679000000000002</v>
      </c>
      <c r="E56" s="516">
        <v>70.081999999999994</v>
      </c>
      <c r="F56" s="516">
        <v>72.965999999999994</v>
      </c>
      <c r="G56" s="531">
        <f>G58</f>
        <v>76.293364065392552</v>
      </c>
      <c r="H56" s="531">
        <f t="shared" ref="H56:AJ56" si="5">H58</f>
        <v>79.190798719775302</v>
      </c>
      <c r="I56" s="531">
        <f t="shared" si="5"/>
        <v>76.322718233177568</v>
      </c>
      <c r="J56" s="531">
        <f t="shared" si="5"/>
        <v>77.091629824424714</v>
      </c>
      <c r="K56" s="531">
        <f t="shared" si="5"/>
        <v>82.350845763249694</v>
      </c>
      <c r="L56" s="531">
        <f t="shared" si="5"/>
        <v>84.934533013139784</v>
      </c>
      <c r="M56" s="531">
        <f t="shared" si="5"/>
        <v>87.494566746146532</v>
      </c>
      <c r="N56" s="531">
        <f t="shared" si="5"/>
        <v>86.878246016829991</v>
      </c>
      <c r="O56" s="531">
        <f t="shared" si="5"/>
        <v>87.584737708573101</v>
      </c>
      <c r="P56" s="531">
        <f t="shared" si="5"/>
        <v>90.219131055163871</v>
      </c>
      <c r="Q56" s="531">
        <f t="shared" si="5"/>
        <v>91.767853967265651</v>
      </c>
      <c r="R56" s="531">
        <f t="shared" si="5"/>
        <v>94.282111550254882</v>
      </c>
      <c r="S56" s="531">
        <f t="shared" si="5"/>
        <v>95.129758243386192</v>
      </c>
      <c r="T56" s="531">
        <f t="shared" si="5"/>
        <v>97.328947598519747</v>
      </c>
      <c r="U56" s="531">
        <f t="shared" si="5"/>
        <v>98.583533038249101</v>
      </c>
      <c r="V56" s="531">
        <f t="shared" si="5"/>
        <v>99.30966796247786</v>
      </c>
      <c r="W56" s="531">
        <f t="shared" si="5"/>
        <v>102.78389561538735</v>
      </c>
      <c r="X56" s="531">
        <f t="shared" si="5"/>
        <v>103.89619345171663</v>
      </c>
      <c r="Y56" s="531">
        <f t="shared" si="5"/>
        <v>106.13731139395847</v>
      </c>
      <c r="Z56" s="531">
        <f t="shared" si="5"/>
        <v>107.89279456637294</v>
      </c>
      <c r="AA56" s="531">
        <f t="shared" si="5"/>
        <v>107.81293018236025</v>
      </c>
      <c r="AB56" s="531">
        <f t="shared" si="5"/>
        <v>108.38735799686275</v>
      </c>
      <c r="AC56" s="531">
        <f t="shared" si="5"/>
        <v>109.50101769888407</v>
      </c>
      <c r="AD56" s="531">
        <f t="shared" si="5"/>
        <v>111.4041795607108</v>
      </c>
      <c r="AE56" s="531">
        <f t="shared" si="5"/>
        <v>111.94692731426167</v>
      </c>
      <c r="AF56" s="531">
        <f t="shared" si="5"/>
        <v>113.02537754525511</v>
      </c>
      <c r="AG56" s="531">
        <f t="shared" si="5"/>
        <v>114.36193510848544</v>
      </c>
      <c r="AH56" s="531">
        <f t="shared" si="5"/>
        <v>115.68138826358411</v>
      </c>
      <c r="AI56" s="531">
        <f t="shared" si="5"/>
        <v>118.91135088705646</v>
      </c>
      <c r="AJ56" s="531">
        <f t="shared" si="5"/>
        <v>121.53150109463718</v>
      </c>
      <c r="AK56"/>
      <c r="AL56" s="511">
        <v>0.24428300353784058</v>
      </c>
    </row>
    <row r="57" spans="1:38" s="256" customFormat="1">
      <c r="B57" s="494"/>
      <c r="C57" s="494"/>
      <c r="D57" s="494"/>
      <c r="E57" s="494"/>
      <c r="F57" s="494"/>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row>
    <row r="58" spans="1:38" s="256" customFormat="1">
      <c r="A58" s="255" t="s">
        <v>83</v>
      </c>
      <c r="B58" s="489">
        <f>SUM(B49:B52,B54,B55)</f>
        <v>74.237000000000009</v>
      </c>
      <c r="C58" s="489">
        <f t="shared" ref="C58:AJ58" si="6">SUM(C49:C52,C54,C55)</f>
        <v>79.980999999999995</v>
      </c>
      <c r="D58" s="489">
        <f t="shared" si="6"/>
        <v>74.314999999999998</v>
      </c>
      <c r="E58" s="489">
        <f t="shared" si="6"/>
        <v>71.416000000000011</v>
      </c>
      <c r="F58" s="489">
        <f t="shared" si="6"/>
        <v>74.456999999999994</v>
      </c>
      <c r="G58" s="489">
        <f t="shared" si="6"/>
        <v>76.293364065392552</v>
      </c>
      <c r="H58" s="489">
        <f t="shared" si="6"/>
        <v>79.190798719775302</v>
      </c>
      <c r="I58" s="489">
        <f t="shared" si="6"/>
        <v>76.322718233177568</v>
      </c>
      <c r="J58" s="489">
        <f t="shared" si="6"/>
        <v>77.091629824424714</v>
      </c>
      <c r="K58" s="489">
        <f t="shared" si="6"/>
        <v>82.350845763249694</v>
      </c>
      <c r="L58" s="489">
        <f t="shared" si="6"/>
        <v>84.934533013139784</v>
      </c>
      <c r="M58" s="489">
        <f t="shared" si="6"/>
        <v>87.494566746146532</v>
      </c>
      <c r="N58" s="489">
        <f t="shared" si="6"/>
        <v>86.878246016829991</v>
      </c>
      <c r="O58" s="489">
        <f t="shared" si="6"/>
        <v>87.584737708573101</v>
      </c>
      <c r="P58" s="489">
        <f t="shared" si="6"/>
        <v>90.219131055163871</v>
      </c>
      <c r="Q58" s="489">
        <f t="shared" si="6"/>
        <v>91.767853967265651</v>
      </c>
      <c r="R58" s="489">
        <f t="shared" si="6"/>
        <v>94.282111550254882</v>
      </c>
      <c r="S58" s="489">
        <f t="shared" si="6"/>
        <v>95.129758243386192</v>
      </c>
      <c r="T58" s="489">
        <f t="shared" si="6"/>
        <v>97.328947598519747</v>
      </c>
      <c r="U58" s="489">
        <f t="shared" si="6"/>
        <v>98.583533038249101</v>
      </c>
      <c r="V58" s="489">
        <f t="shared" si="6"/>
        <v>99.30966796247786</v>
      </c>
      <c r="W58" s="489">
        <f t="shared" si="6"/>
        <v>102.78389561538735</v>
      </c>
      <c r="X58" s="489">
        <f t="shared" si="6"/>
        <v>103.89619345171663</v>
      </c>
      <c r="Y58" s="489">
        <f t="shared" si="6"/>
        <v>106.13731139395847</v>
      </c>
      <c r="Z58" s="489">
        <f t="shared" si="6"/>
        <v>107.89279456637294</v>
      </c>
      <c r="AA58" s="489">
        <f t="shared" si="6"/>
        <v>107.81293018236025</v>
      </c>
      <c r="AB58" s="489">
        <f t="shared" si="6"/>
        <v>108.38735799686275</v>
      </c>
      <c r="AC58" s="489">
        <f t="shared" si="6"/>
        <v>109.50101769888407</v>
      </c>
      <c r="AD58" s="489">
        <f t="shared" si="6"/>
        <v>111.4041795607108</v>
      </c>
      <c r="AE58" s="489">
        <f t="shared" si="6"/>
        <v>111.94692731426167</v>
      </c>
      <c r="AF58" s="489">
        <f t="shared" si="6"/>
        <v>113.02537754525511</v>
      </c>
      <c r="AG58" s="489">
        <f t="shared" si="6"/>
        <v>114.36193510848544</v>
      </c>
      <c r="AH58" s="489">
        <f t="shared" si="6"/>
        <v>115.68138826358411</v>
      </c>
      <c r="AI58" s="489">
        <f t="shared" si="6"/>
        <v>118.91135088705646</v>
      </c>
      <c r="AJ58" s="489">
        <f t="shared" si="6"/>
        <v>121.53150109463718</v>
      </c>
      <c r="AK58" s="496">
        <v>8.9999999999999993E-3</v>
      </c>
    </row>
    <row r="59" spans="1:38">
      <c r="A59" s="6" t="s">
        <v>84</v>
      </c>
      <c r="B59" s="371">
        <v>3906.17822265625</v>
      </c>
      <c r="C59" s="371">
        <v>4003.6083984375</v>
      </c>
      <c r="D59" s="371">
        <v>4006.09130859375</v>
      </c>
      <c r="E59" s="371">
        <v>3992.21752929688</v>
      </c>
      <c r="F59" s="371">
        <v>4046.56079101563</v>
      </c>
      <c r="G59" s="249">
        <v>3975.9853520000001</v>
      </c>
      <c r="H59" s="249">
        <v>3914.8715820000002</v>
      </c>
      <c r="I59" s="249">
        <v>3921.3237300000001</v>
      </c>
      <c r="J59" s="249">
        <v>3939.0678710000002</v>
      </c>
      <c r="K59" s="249">
        <v>4009.0505370000001</v>
      </c>
      <c r="L59" s="249">
        <v>4063.0170899999998</v>
      </c>
      <c r="M59" s="249">
        <v>4119.9077150000003</v>
      </c>
      <c r="N59" s="249">
        <v>4166.5869140000004</v>
      </c>
      <c r="O59" s="249">
        <v>4198.9038090000004</v>
      </c>
      <c r="P59" s="249">
        <v>4219.6909180000002</v>
      </c>
      <c r="Q59" s="249">
        <v>4252.6411129999997</v>
      </c>
      <c r="R59" s="249">
        <v>4292.3344729999999</v>
      </c>
      <c r="S59" s="249">
        <v>4339.8535160000001</v>
      </c>
      <c r="T59" s="249">
        <v>4382.0117190000001</v>
      </c>
      <c r="U59" s="249">
        <v>4415.9643550000001</v>
      </c>
      <c r="V59" s="249">
        <v>4450.7382809999999</v>
      </c>
      <c r="W59" s="249">
        <v>4486.6025390000004</v>
      </c>
      <c r="X59" s="249">
        <v>4519.0146480000003</v>
      </c>
      <c r="Y59" s="249">
        <v>4546.845703</v>
      </c>
      <c r="Z59" s="249">
        <v>4573.2431640000004</v>
      </c>
      <c r="AA59" s="249">
        <v>4595.8320309999999</v>
      </c>
      <c r="AB59" s="249">
        <v>4620.3847660000001</v>
      </c>
      <c r="AC59" s="249">
        <v>4650.2163090000004</v>
      </c>
      <c r="AD59" s="249">
        <v>4684.017578</v>
      </c>
      <c r="AE59" s="249">
        <v>4715.7373049999997</v>
      </c>
      <c r="AF59" s="249">
        <v>4746.6293949999999</v>
      </c>
      <c r="AG59" s="249">
        <v>4780.0688479999999</v>
      </c>
      <c r="AH59" s="249">
        <v>4817.2851559999999</v>
      </c>
      <c r="AI59" s="249">
        <v>4853.5073240000002</v>
      </c>
      <c r="AJ59" s="249">
        <v>4888.0634769999997</v>
      </c>
      <c r="AK59" s="250">
        <v>8.0000000000000002E-3</v>
      </c>
    </row>
    <row r="60" spans="1:38" s="275" customFormat="1">
      <c r="A60" s="274" t="s">
        <v>331</v>
      </c>
      <c r="B60" s="372"/>
      <c r="C60" s="372"/>
      <c r="D60" s="372"/>
      <c r="E60" s="372">
        <f>E49/SUM(E49,E51)</f>
        <v>0.67722222222222228</v>
      </c>
      <c r="F60" s="372">
        <f t="shared" ref="F60:AJ60" si="7">F49/SUM(F49,F51)</f>
        <v>0.59962786753968633</v>
      </c>
      <c r="G60" s="329">
        <f t="shared" si="7"/>
        <v>0.56064496596124991</v>
      </c>
      <c r="H60" s="329">
        <f t="shared" si="7"/>
        <v>0.4292173419643725</v>
      </c>
      <c r="I60" s="329">
        <f t="shared" si="7"/>
        <v>0.47492515046863248</v>
      </c>
      <c r="J60" s="329">
        <f t="shared" si="7"/>
        <v>0.53401724056166155</v>
      </c>
      <c r="K60" s="329">
        <f t="shared" si="7"/>
        <v>0.45782550828288415</v>
      </c>
      <c r="L60" s="329">
        <f t="shared" si="7"/>
        <v>0.4186648029129944</v>
      </c>
      <c r="M60" s="329">
        <f t="shared" si="7"/>
        <v>0.44335089127329691</v>
      </c>
      <c r="N60" s="329">
        <f t="shared" si="7"/>
        <v>0.50253778337374644</v>
      </c>
      <c r="O60" s="329">
        <f t="shared" si="7"/>
        <v>0.51624877775742928</v>
      </c>
      <c r="P60" s="329">
        <f t="shared" si="7"/>
        <v>0.48901969703213977</v>
      </c>
      <c r="Q60" s="329">
        <f t="shared" si="7"/>
        <v>0.49252146154792825</v>
      </c>
      <c r="R60" s="329">
        <f t="shared" si="7"/>
        <v>0.47647810893003101</v>
      </c>
      <c r="S60" s="329">
        <f t="shared" si="7"/>
        <v>0.47343710260257488</v>
      </c>
      <c r="T60" s="329">
        <f t="shared" si="7"/>
        <v>0.46073726333328796</v>
      </c>
      <c r="U60" s="329">
        <f t="shared" si="7"/>
        <v>0.45494012672395273</v>
      </c>
      <c r="V60" s="329">
        <f t="shared" si="7"/>
        <v>0.44856072921383605</v>
      </c>
      <c r="W60" s="329">
        <f t="shared" si="7"/>
        <v>0.42392083958842758</v>
      </c>
      <c r="X60" s="329">
        <f t="shared" si="7"/>
        <v>0.41617514196851207</v>
      </c>
      <c r="Y60" s="329">
        <f t="shared" si="7"/>
        <v>0.40345555972379415</v>
      </c>
      <c r="Z60" s="329">
        <f t="shared" si="7"/>
        <v>0.39383364535187809</v>
      </c>
      <c r="AA60" s="329">
        <f t="shared" si="7"/>
        <v>0.39524344557274588</v>
      </c>
      <c r="AB60" s="329">
        <f t="shared" si="7"/>
        <v>0.39309383268128523</v>
      </c>
      <c r="AC60" s="329">
        <f t="shared" si="7"/>
        <v>0.38712859952602774</v>
      </c>
      <c r="AD60" s="329">
        <f t="shared" si="7"/>
        <v>0.37782708935715753</v>
      </c>
      <c r="AE60" s="329">
        <f t="shared" si="7"/>
        <v>0.37566865162935903</v>
      </c>
      <c r="AF60" s="329">
        <f t="shared" si="7"/>
        <v>0.37215743222907199</v>
      </c>
      <c r="AG60" s="329">
        <f t="shared" si="7"/>
        <v>0.36712106675437894</v>
      </c>
      <c r="AH60" s="329">
        <f t="shared" si="7"/>
        <v>0.36375116727275691</v>
      </c>
      <c r="AI60" s="329">
        <f t="shared" si="7"/>
        <v>0.35155034517608885</v>
      </c>
      <c r="AJ60" s="329">
        <f t="shared" si="7"/>
        <v>0.34192591550373069</v>
      </c>
      <c r="AK60" s="329"/>
      <c r="AL60" s="275" t="s">
        <v>0</v>
      </c>
    </row>
    <row r="61" spans="1:38" s="266" customFormat="1">
      <c r="A61" s="263" t="s">
        <v>107</v>
      </c>
      <c r="B61" s="363">
        <f>B54/B58</f>
        <v>5.1322117003650462E-2</v>
      </c>
      <c r="C61" s="363">
        <f t="shared" ref="C61:AJ61" si="8">C54/C58</f>
        <v>4.7686325502306802E-2</v>
      </c>
      <c r="D61" s="363">
        <f t="shared" si="8"/>
        <v>4.9909170423198548E-2</v>
      </c>
      <c r="E61" s="363">
        <f t="shared" si="8"/>
        <v>5.455360143385235E-2</v>
      </c>
      <c r="F61" s="363">
        <f t="shared" si="8"/>
        <v>4.9961722873604904E-2</v>
      </c>
      <c r="G61" s="314">
        <f t="shared" si="8"/>
        <v>4.2788713037650652E-2</v>
      </c>
      <c r="H61" s="314">
        <f t="shared" si="8"/>
        <v>4.301707213213788E-2</v>
      </c>
      <c r="I61" s="314">
        <f t="shared" si="8"/>
        <v>5.5205834748537665E-2</v>
      </c>
      <c r="J61" s="314">
        <f t="shared" si="8"/>
        <v>5.6716626844134421E-2</v>
      </c>
      <c r="K61" s="314">
        <f t="shared" si="8"/>
        <v>6.5445968622480741E-2</v>
      </c>
      <c r="L61" s="314">
        <f t="shared" si="8"/>
        <v>8.2508831177692768E-2</v>
      </c>
      <c r="M61" s="314">
        <f t="shared" si="8"/>
        <v>7.7735473948223319E-2</v>
      </c>
      <c r="N61" s="314">
        <f t="shared" si="8"/>
        <v>7.9278364518758901E-2</v>
      </c>
      <c r="O61" s="314">
        <f t="shared" si="8"/>
        <v>8.2337144223402645E-2</v>
      </c>
      <c r="P61" s="314">
        <f t="shared" si="8"/>
        <v>8.9303952362198208E-2</v>
      </c>
      <c r="Q61" s="314">
        <f t="shared" si="8"/>
        <v>0.10197747548991143</v>
      </c>
      <c r="R61" s="314">
        <f t="shared" si="8"/>
        <v>0.10040732689367557</v>
      </c>
      <c r="S61" s="314">
        <f t="shared" si="8"/>
        <v>0.101713242891314</v>
      </c>
      <c r="T61" s="314">
        <f t="shared" si="8"/>
        <v>9.9860284681550393E-2</v>
      </c>
      <c r="U61" s="314">
        <f t="shared" si="8"/>
        <v>9.9347110450204987E-2</v>
      </c>
      <c r="V61" s="314">
        <f t="shared" si="8"/>
        <v>9.9072005794919621E-2</v>
      </c>
      <c r="W61" s="314">
        <f t="shared" si="8"/>
        <v>9.5497050626364002E-2</v>
      </c>
      <c r="X61" s="314">
        <f t="shared" si="8"/>
        <v>9.5111271586609272E-2</v>
      </c>
      <c r="Y61" s="314">
        <f t="shared" si="8"/>
        <v>9.3995760822659938E-2</v>
      </c>
      <c r="Z61" s="314">
        <f t="shared" si="8"/>
        <v>9.2924043641947077E-2</v>
      </c>
      <c r="AA61" s="314">
        <f t="shared" si="8"/>
        <v>9.448721673178119E-2</v>
      </c>
      <c r="AB61" s="314">
        <f t="shared" si="8"/>
        <v>9.4638329619347691E-2</v>
      </c>
      <c r="AC61" s="314">
        <f t="shared" si="8"/>
        <v>9.420646102676157E-2</v>
      </c>
      <c r="AD61" s="314">
        <f t="shared" si="8"/>
        <v>9.4054894099908151E-2</v>
      </c>
      <c r="AE61" s="314">
        <f t="shared" si="8"/>
        <v>9.5112825801780237E-2</v>
      </c>
      <c r="AF61" s="314">
        <f t="shared" si="8"/>
        <v>9.5980179056463638E-2</v>
      </c>
      <c r="AG61" s="314">
        <f t="shared" si="8"/>
        <v>9.8189259619832797E-2</v>
      </c>
      <c r="AH61" s="314">
        <f t="shared" si="8"/>
        <v>0.10250674847914734</v>
      </c>
      <c r="AI61" s="314">
        <f t="shared" si="8"/>
        <v>0.10469260292216097</v>
      </c>
      <c r="AJ61" s="314">
        <f t="shared" si="8"/>
        <v>0.10697184067228693</v>
      </c>
      <c r="AK61" s="314"/>
    </row>
    <row r="62" spans="1:38" s="276" customFormat="1">
      <c r="A62" s="265" t="s">
        <v>108</v>
      </c>
      <c r="B62" s="373">
        <f>(B54-EIA_RE_aeo2014!B73)/B56</f>
        <v>3.3652661831120846E-2</v>
      </c>
      <c r="C62" s="373">
        <f>(C54-EIA_RE_aeo2014!C73)/C56</f>
        <v>3.274588124194433E-2</v>
      </c>
      <c r="D62" s="373">
        <f>(D54-EIA_RE_aeo2014!D73)/D56</f>
        <v>3.7122139820305732E-2</v>
      </c>
      <c r="E62" s="373">
        <f>(E54-EIA_RE_aeo2014!E73)/E56</f>
        <v>3.4488170999686082E-2</v>
      </c>
      <c r="F62" s="373">
        <f>(F54-EIA_RE_aeo2014!F73)/F56</f>
        <v>3.0425129512375634E-2</v>
      </c>
      <c r="G62" s="330">
        <f>(G54-EIA_RE_aeo2014!G73)/G56</f>
        <v>2.8952332469935699E-2</v>
      </c>
      <c r="H62" s="330">
        <f>(H54-EIA_RE_aeo2014!H73)/H56</f>
        <v>3.0287701595453635E-2</v>
      </c>
      <c r="I62" s="330">
        <f>(I54-EIA_RE_aeo2014!I73)/I56</f>
        <v>3.5385578407845487E-2</v>
      </c>
      <c r="J62" s="330">
        <f>(J54-EIA_RE_aeo2014!J73)/J56</f>
        <v>3.6665641756382907E-2</v>
      </c>
      <c r="K62" s="330">
        <f>(K54-EIA_RE_aeo2014!K73)/K56</f>
        <v>4.6279153693369393E-2</v>
      </c>
      <c r="L62" s="330">
        <f>(L54-EIA_RE_aeo2014!L73)/L56</f>
        <v>6.3539528317680019E-2</v>
      </c>
      <c r="M62" s="330">
        <f>(M54-EIA_RE_aeo2014!M73)/M56</f>
        <v>5.899142639201059E-2</v>
      </c>
      <c r="N62" s="330">
        <f>(N54-EIA_RE_aeo2014!N73)/N56</f>
        <v>6.0401378216775999E-2</v>
      </c>
      <c r="O62" s="330">
        <f>(O54-EIA_RE_aeo2014!O73)/O56</f>
        <v>6.3612426847906398E-2</v>
      </c>
      <c r="P62" s="330">
        <f>(P54-EIA_RE_aeo2014!P73)/P56</f>
        <v>7.1125995638172193E-2</v>
      </c>
      <c r="Q62" s="330">
        <f>(Q54-EIA_RE_aeo2014!Q73)/Q56</f>
        <v>8.4106299592249037E-2</v>
      </c>
      <c r="R62" s="330">
        <f>(R54-EIA_RE_aeo2014!R73)/R56</f>
        <v>8.3012728564958282E-2</v>
      </c>
      <c r="S62" s="330">
        <f>(S54-EIA_RE_aeo2014!S73)/S56</f>
        <v>8.4473637847809979E-2</v>
      </c>
      <c r="T62" s="330">
        <f>(T54-EIA_RE_aeo2014!T73)/T56</f>
        <v>8.30102159151134E-2</v>
      </c>
      <c r="U62" s="330">
        <f>(U54-EIA_RE_aeo2014!U73)/U56</f>
        <v>8.2711477607104275E-2</v>
      </c>
      <c r="V62" s="330">
        <f>(V54-EIA_RE_aeo2014!V73)/V56</f>
        <v>8.2558009789821307E-2</v>
      </c>
      <c r="W62" s="330">
        <f>(W54-EIA_RE_aeo2014!W73)/W56</f>
        <v>7.9541248891267263E-2</v>
      </c>
      <c r="X62" s="330">
        <f>(X54-EIA_RE_aeo2014!X73)/X56</f>
        <v>7.9326290390333273E-2</v>
      </c>
      <c r="Y62" s="330">
        <f>(Y54-EIA_RE_aeo2014!Y73)/Y56</f>
        <v>7.8544083759608266E-2</v>
      </c>
      <c r="Z62" s="330">
        <f>(Z54-EIA_RE_aeo2014!Z73)/Z56</f>
        <v>7.7723775017974103E-2</v>
      </c>
      <c r="AA62" s="330">
        <f>(AA54-EIA_RE_aeo2014!AK73)/AA56</f>
        <v>9.448721673178119E-2</v>
      </c>
      <c r="AB62" s="330">
        <f>(AB54-EIA_RE_aeo2014!AL73)/AB56</f>
        <v>9.4638329619347691E-2</v>
      </c>
      <c r="AC62" s="330">
        <f>(AC54-EIA_RE_aeo2014!AM73)/AC56</f>
        <v>9.420646102676157E-2</v>
      </c>
      <c r="AD62" s="330">
        <f>(AD54-EIA_RE_aeo2014!AN73)/AD56</f>
        <v>9.4054894099908151E-2</v>
      </c>
      <c r="AE62" s="330">
        <f>(AE54-EIA_RE_aeo2014!AO73)/AE56</f>
        <v>9.5112825801780237E-2</v>
      </c>
      <c r="AF62" s="330">
        <f>(AF54-EIA_RE_aeo2014!AP73)/AF56</f>
        <v>9.5980179056463638E-2</v>
      </c>
      <c r="AG62" s="330">
        <f>(AG54-EIA_RE_aeo2014!AQ73)/AG56</f>
        <v>9.8189259619832797E-2</v>
      </c>
      <c r="AH62" s="330">
        <f>(AH54-EIA_RE_aeo2014!AR73)/AH56</f>
        <v>0.10250674847914734</v>
      </c>
      <c r="AI62" s="330">
        <f>(AI54-EIA_RE_aeo2014!AS73)/AI56</f>
        <v>0.10469260292216097</v>
      </c>
      <c r="AJ62" s="330">
        <f>(AJ54-EIA_RE_aeo2014!AT73)/AJ56</f>
        <v>0.10697184067228693</v>
      </c>
      <c r="AK62" s="330"/>
    </row>
    <row r="63" spans="1:38" s="481" customFormat="1">
      <c r="A63" s="481" t="s">
        <v>109</v>
      </c>
      <c r="C63" s="482"/>
      <c r="D63" s="482"/>
      <c r="E63" s="482"/>
      <c r="F63" s="482">
        <v>42094.619140625</v>
      </c>
      <c r="G63" s="483">
        <v>102605.04540000002</v>
      </c>
      <c r="H63" s="483">
        <v>163360.96875</v>
      </c>
      <c r="I63" s="483">
        <v>225974.68357199998</v>
      </c>
      <c r="J63" s="483">
        <v>289591.77345600002</v>
      </c>
      <c r="K63" s="483">
        <v>358569.27243000007</v>
      </c>
      <c r="L63" s="483">
        <v>428005.66654200002</v>
      </c>
      <c r="M63" s="483">
        <v>499509.19281199999</v>
      </c>
      <c r="N63" s="483">
        <v>571413.594774</v>
      </c>
      <c r="O63" s="483">
        <v>642582.21966400009</v>
      </c>
      <c r="P63" s="483">
        <v>712804.27253000019</v>
      </c>
      <c r="Q63" s="483">
        <v>785931.55672200024</v>
      </c>
      <c r="R63" s="483">
        <v>861455.63087200013</v>
      </c>
      <c r="S63" s="483">
        <v>939930.84375000035</v>
      </c>
      <c r="T63" s="483">
        <v>1018634.9062500005</v>
      </c>
      <c r="U63" s="483">
        <v>1096613.15925</v>
      </c>
      <c r="V63" s="484"/>
      <c r="W63" s="484"/>
      <c r="X63" s="484"/>
      <c r="Y63" s="484"/>
      <c r="Z63" s="484"/>
      <c r="AA63" s="484"/>
      <c r="AB63" s="484"/>
      <c r="AC63" s="484"/>
      <c r="AD63" s="484"/>
      <c r="AE63" s="484"/>
      <c r="AF63" s="484"/>
      <c r="AG63" s="484"/>
      <c r="AH63" s="484"/>
      <c r="AI63" s="484"/>
      <c r="AJ63" s="484"/>
      <c r="AK63" s="484"/>
    </row>
    <row r="64" spans="1:38" s="485" customFormat="1">
      <c r="A64" s="485" t="s">
        <v>110</v>
      </c>
      <c r="C64" s="486"/>
      <c r="D64" s="486"/>
      <c r="E64" s="486"/>
      <c r="F64" s="486"/>
      <c r="G64" s="487">
        <f>G63/1000/G58</f>
        <v>1.344875097027511</v>
      </c>
      <c r="H64" s="487">
        <f t="shared" ref="H64:O64" si="9">H63/1000/H58</f>
        <v>2.0628781549238999</v>
      </c>
      <c r="I64" s="487">
        <f t="shared" si="9"/>
        <v>2.9607787668360133</v>
      </c>
      <c r="J64" s="487">
        <f t="shared" si="9"/>
        <v>3.7564619416600982</v>
      </c>
      <c r="K64" s="487">
        <f t="shared" si="9"/>
        <v>4.3541662396625558</v>
      </c>
      <c r="L64" s="487">
        <f t="shared" si="9"/>
        <v>5.0392420062612873</v>
      </c>
      <c r="M64" s="487">
        <f t="shared" si="9"/>
        <v>5.709030987732727</v>
      </c>
      <c r="N64" s="487">
        <f t="shared" si="9"/>
        <v>6.5771769225555747</v>
      </c>
      <c r="O64" s="487">
        <f t="shared" si="9"/>
        <v>7.3366917167932773</v>
      </c>
      <c r="P64" s="487">
        <f t="shared" ref="P64" si="10">P63/1000/P58</f>
        <v>7.9008106617005751</v>
      </c>
      <c r="Q64" s="487">
        <f t="shared" ref="Q64" si="11">Q63/1000/Q58</f>
        <v>8.5643449502736377</v>
      </c>
      <c r="R64" s="487">
        <f t="shared" ref="R64" si="12">R63/1000/R58</f>
        <v>9.1369997628110102</v>
      </c>
      <c r="S64" s="487">
        <f t="shared" ref="S64" si="13">S63/1000/S58</f>
        <v>9.8805133231309163</v>
      </c>
      <c r="T64" s="487">
        <f t="shared" ref="T64" si="14">T63/1000/T58</f>
        <v>10.465898701092014</v>
      </c>
      <c r="U64" s="487">
        <f t="shared" ref="U64" si="15">U63/1000/U58</f>
        <v>11.123695057921374</v>
      </c>
      <c r="V64" s="487"/>
      <c r="W64" s="487"/>
      <c r="X64" s="487"/>
      <c r="Y64" s="487"/>
      <c r="Z64" s="487"/>
      <c r="AA64" s="487"/>
      <c r="AB64" s="487"/>
      <c r="AC64" s="487"/>
      <c r="AD64" s="487"/>
      <c r="AE64" s="487"/>
      <c r="AF64" s="487"/>
      <c r="AG64" s="487"/>
      <c r="AH64" s="487"/>
      <c r="AI64" s="487"/>
      <c r="AJ64" s="487"/>
      <c r="AK64" s="487"/>
    </row>
    <row r="65" spans="1:38" s="485" customFormat="1">
      <c r="A65" s="485" t="s">
        <v>113</v>
      </c>
      <c r="D65" s="486"/>
      <c r="E65" s="486"/>
      <c r="F65" s="486"/>
      <c r="G65" s="487"/>
      <c r="H65" s="487">
        <f t="shared" ref="H65:U65" si="16">(H64-G64)/G64</f>
        <v>0.53388084847681683</v>
      </c>
      <c r="I65" s="487">
        <f t="shared" si="16"/>
        <v>0.43526594615823888</v>
      </c>
      <c r="J65" s="487">
        <f t="shared" si="16"/>
        <v>0.26874117841448125</v>
      </c>
      <c r="K65" s="487">
        <f t="shared" si="16"/>
        <v>0.15911363066766845</v>
      </c>
      <c r="L65" s="487">
        <f t="shared" si="16"/>
        <v>0.15733799053382588</v>
      </c>
      <c r="M65" s="487">
        <f t="shared" si="16"/>
        <v>0.13291462895396233</v>
      </c>
      <c r="N65" s="487">
        <f t="shared" si="16"/>
        <v>0.15206537443714621</v>
      </c>
      <c r="O65" s="487">
        <f t="shared" si="16"/>
        <v>0.11547732456961057</v>
      </c>
      <c r="P65" s="487">
        <f t="shared" si="16"/>
        <v>7.6890097973731281E-2</v>
      </c>
      <c r="Q65" s="487">
        <f t="shared" si="16"/>
        <v>8.3983064141704561E-2</v>
      </c>
      <c r="R65" s="487">
        <f t="shared" si="16"/>
        <v>6.6864986856826181E-2</v>
      </c>
      <c r="S65" s="487">
        <f t="shared" si="16"/>
        <v>8.1373927943625468E-2</v>
      </c>
      <c r="T65" s="487">
        <f t="shared" si="16"/>
        <v>5.9246453986421213E-2</v>
      </c>
      <c r="U65" s="487">
        <f t="shared" si="16"/>
        <v>6.2851397248926702E-2</v>
      </c>
      <c r="V65" s="487"/>
      <c r="W65" s="487"/>
      <c r="X65" s="487"/>
      <c r="Y65" s="487"/>
      <c r="Z65" s="487"/>
      <c r="AA65" s="487"/>
      <c r="AB65" s="487"/>
      <c r="AC65" s="487"/>
      <c r="AD65" s="487"/>
      <c r="AE65" s="487"/>
      <c r="AF65" s="487"/>
      <c r="AG65" s="487"/>
      <c r="AH65" s="487"/>
      <c r="AI65" s="487"/>
      <c r="AJ65" s="487"/>
      <c r="AK65" s="487"/>
    </row>
    <row r="66" spans="1:38" s="266" customFormat="1">
      <c r="A66" s="266" t="s">
        <v>129</v>
      </c>
      <c r="B66" s="374">
        <f>B52/B58</f>
        <v>0.37170144267683231</v>
      </c>
      <c r="C66" s="374">
        <f t="shared" ref="C66:AJ66" si="17">C52/C58</f>
        <v>0.34093097110563764</v>
      </c>
      <c r="D66" s="374">
        <f t="shared" si="17"/>
        <v>0.37584606068761356</v>
      </c>
      <c r="E66" s="374">
        <f t="shared" si="17"/>
        <v>0.39503752660468233</v>
      </c>
      <c r="F66" s="374">
        <f t="shared" si="17"/>
        <v>0.35687712370898639</v>
      </c>
      <c r="G66" s="331">
        <f t="shared" si="17"/>
        <v>0.35820961030733628</v>
      </c>
      <c r="H66" s="331">
        <f t="shared" si="17"/>
        <v>0.34590689554138293</v>
      </c>
      <c r="I66" s="331">
        <f t="shared" si="17"/>
        <v>0.35384837944176062</v>
      </c>
      <c r="J66" s="331">
        <f t="shared" si="17"/>
        <v>0.35092313970548333</v>
      </c>
      <c r="K66" s="331">
        <f t="shared" si="17"/>
        <v>0.3373340586660632</v>
      </c>
      <c r="L66" s="331">
        <f t="shared" si="17"/>
        <v>0.32972900835950242</v>
      </c>
      <c r="M66" s="331">
        <f t="shared" si="17"/>
        <v>0.33495723966186441</v>
      </c>
      <c r="N66" s="331">
        <f t="shared" si="17"/>
        <v>0.35223242499822027</v>
      </c>
      <c r="O66" s="331">
        <f t="shared" si="17"/>
        <v>0.36223544087173215</v>
      </c>
      <c r="P66" s="331">
        <f t="shared" si="17"/>
        <v>0.35452747386297584</v>
      </c>
      <c r="Q66" s="331">
        <f t="shared" si="17"/>
        <v>0.34854432047315137</v>
      </c>
      <c r="R66" s="331">
        <f t="shared" si="17"/>
        <v>0.3392495151113693</v>
      </c>
      <c r="S66" s="331">
        <f t="shared" si="17"/>
        <v>0.336226695966861</v>
      </c>
      <c r="T66" s="331">
        <f t="shared" si="17"/>
        <v>0.32862950942650954</v>
      </c>
      <c r="U66" s="331">
        <f t="shared" si="17"/>
        <v>0.32444729501315583</v>
      </c>
      <c r="V66" s="331">
        <f t="shared" si="17"/>
        <v>0.32207612417438536</v>
      </c>
      <c r="W66" s="331">
        <f t="shared" si="17"/>
        <v>0.31118844480060392</v>
      </c>
      <c r="X66" s="331">
        <f t="shared" si="17"/>
        <v>0.30785690567156698</v>
      </c>
      <c r="Y66" s="331">
        <f t="shared" si="17"/>
        <v>0.30135642411722757</v>
      </c>
      <c r="Z66" s="331">
        <f t="shared" si="17"/>
        <v>0.29645320089121913</v>
      </c>
      <c r="AA66" s="331">
        <f t="shared" si="17"/>
        <v>0.29667276988946206</v>
      </c>
      <c r="AB66" s="331">
        <f t="shared" si="17"/>
        <v>0.29510050704645646</v>
      </c>
      <c r="AC66" s="331">
        <f t="shared" si="17"/>
        <v>0.29209924231257584</v>
      </c>
      <c r="AD66" s="331">
        <f t="shared" si="17"/>
        <v>0.28710919490116049</v>
      </c>
      <c r="AE66" s="331">
        <f t="shared" si="17"/>
        <v>0.28571721502020353</v>
      </c>
      <c r="AF66" s="331">
        <f t="shared" si="17"/>
        <v>0.28444212123005325</v>
      </c>
      <c r="AG66" s="331">
        <f t="shared" si="17"/>
        <v>0.28147112962337056</v>
      </c>
      <c r="AH66" s="331">
        <f t="shared" si="17"/>
        <v>0.27826066144758665</v>
      </c>
      <c r="AI66" s="331">
        <f t="shared" si="17"/>
        <v>0.27220836799460951</v>
      </c>
      <c r="AJ66" s="331">
        <f t="shared" si="17"/>
        <v>0.26665086245964253</v>
      </c>
      <c r="AK66" s="33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2" t="s">
        <v>632</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row>
    <row r="110" spans="1:38">
      <c r="A110" s="561" t="s">
        <v>633</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8">
      <c r="A111" s="561" t="s">
        <v>634</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8">
      <c r="A112" s="561" t="s">
        <v>635</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636</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637</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638</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639</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640</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641</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642</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643</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644</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645</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row r="123" spans="1:32">
      <c r="A123" s="561" t="s">
        <v>646</v>
      </c>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row>
    <row r="124" spans="1:32">
      <c r="A124" s="561" t="s">
        <v>647</v>
      </c>
      <c r="B124" s="561"/>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row>
    <row r="125" spans="1:32">
      <c r="A125" s="561" t="s">
        <v>640</v>
      </c>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row>
    <row r="126" spans="1:32">
      <c r="A126" s="561" t="s">
        <v>648</v>
      </c>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row>
    <row r="127" spans="1:32">
      <c r="A127" s="561" t="s">
        <v>649</v>
      </c>
      <c r="B127" s="561"/>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row>
    <row r="128" spans="1:32">
      <c r="A128" s="561" t="s">
        <v>650</v>
      </c>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row>
    <row r="129" spans="1:32">
      <c r="A129" s="561" t="s">
        <v>620</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row>
    <row r="130" spans="1:32">
      <c r="A130" s="561" t="s">
        <v>621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row>
    <row r="131" spans="1:32">
      <c r="A131" s="561" t="s">
        <v>622</v>
      </c>
      <c r="B131" s="561"/>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row>
    <row r="132" spans="1:32">
      <c r="A132" s="561" t="s">
        <v>651</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row>
    <row r="133" spans="1:32">
      <c r="A133" s="561" t="s">
        <v>652</v>
      </c>
      <c r="B133" s="561"/>
      <c r="C133" s="561"/>
      <c r="D133" s="561"/>
      <c r="E133" s="561"/>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row>
    <row r="134" spans="1:32">
      <c r="A134" s="561" t="s">
        <v>653</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row>
    <row r="135" spans="1:32">
      <c r="A135" s="561" t="s">
        <v>654</v>
      </c>
      <c r="B135" s="561"/>
      <c r="C135" s="561"/>
      <c r="D135" s="561"/>
      <c r="E135" s="561"/>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1"/>
    </row>
    <row r="136" spans="1:32">
      <c r="A136" s="561" t="s">
        <v>655</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row>
    <row r="137" spans="1:32">
      <c r="A137" s="561" t="s">
        <v>656</v>
      </c>
      <c r="B137" s="561"/>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M122"/>
  <sheetViews>
    <sheetView topLeftCell="A53" zoomScale="125" zoomScaleNormal="125" zoomScalePageLayoutView="125" workbookViewId="0">
      <selection activeCell="AM57" sqref="AM57"/>
    </sheetView>
  </sheetViews>
  <sheetFormatPr baseColWidth="10" defaultColWidth="12.5" defaultRowHeight="16" x14ac:dyDescent="0"/>
  <cols>
    <col min="1" max="1" width="47.33203125" style="5" customWidth="1"/>
    <col min="2" max="2" width="23" style="252" bestFit="1" customWidth="1"/>
    <col min="3" max="6" width="12.5" style="252"/>
    <col min="7" max="37" width="12.5" style="304"/>
    <col min="38" max="16384" width="12.5" style="5"/>
  </cols>
  <sheetData>
    <row r="1" spans="1:37">
      <c r="A1" s="269" t="s">
        <v>4</v>
      </c>
    </row>
    <row r="2" spans="1:37">
      <c r="A2" s="273" t="s">
        <v>705</v>
      </c>
    </row>
    <row r="3" spans="1:37">
      <c r="A3" s="273" t="s">
        <v>657</v>
      </c>
    </row>
    <row r="4" spans="1:37">
      <c r="A4" s="273" t="s">
        <v>658</v>
      </c>
    </row>
    <row r="6" spans="1:37">
      <c r="A6" s="6" t="s">
        <v>5</v>
      </c>
    </row>
    <row r="7" spans="1:37">
      <c r="A7" s="6" t="s">
        <v>6</v>
      </c>
    </row>
    <row r="8" spans="1:37">
      <c r="A8" s="78" t="s">
        <v>281</v>
      </c>
    </row>
    <row r="10" spans="1:37">
      <c r="AK10" s="305" t="s">
        <v>715</v>
      </c>
    </row>
    <row r="11" spans="1:37">
      <c r="B11" s="475" t="s">
        <v>7</v>
      </c>
      <c r="C11" s="475" t="s">
        <v>8</v>
      </c>
      <c r="D11" s="475" t="s">
        <v>9</v>
      </c>
      <c r="E11" s="475" t="s">
        <v>10</v>
      </c>
      <c r="F11" s="475" t="s">
        <v>11</v>
      </c>
      <c r="G11" s="305" t="s">
        <v>12</v>
      </c>
      <c r="H11" s="305" t="s">
        <v>13</v>
      </c>
      <c r="I11" s="305" t="s">
        <v>14</v>
      </c>
      <c r="J11" s="305" t="s">
        <v>15</v>
      </c>
      <c r="K11" s="305" t="s">
        <v>16</v>
      </c>
      <c r="L11" s="305" t="s">
        <v>17</v>
      </c>
      <c r="M11" s="305" t="s">
        <v>18</v>
      </c>
      <c r="N11" s="305" t="s">
        <v>19</v>
      </c>
      <c r="O11" s="305" t="s">
        <v>20</v>
      </c>
      <c r="P11" s="305" t="s">
        <v>21</v>
      </c>
      <c r="Q11" s="305" t="s">
        <v>22</v>
      </c>
      <c r="R11" s="305" t="s">
        <v>23</v>
      </c>
      <c r="S11" s="305" t="s">
        <v>24</v>
      </c>
      <c r="T11" s="305" t="s">
        <v>25</v>
      </c>
      <c r="U11" s="305" t="s">
        <v>26</v>
      </c>
      <c r="V11" s="305" t="s">
        <v>27</v>
      </c>
      <c r="W11" s="305" t="s">
        <v>28</v>
      </c>
      <c r="X11" s="305" t="s">
        <v>29</v>
      </c>
      <c r="Y11" s="305" t="s">
        <v>30</v>
      </c>
      <c r="Z11" s="305" t="s">
        <v>31</v>
      </c>
      <c r="AA11" s="305" t="s">
        <v>582</v>
      </c>
      <c r="AB11" s="305" t="s">
        <v>583</v>
      </c>
      <c r="AC11" s="305" t="s">
        <v>584</v>
      </c>
      <c r="AD11" s="305" t="s">
        <v>585</v>
      </c>
      <c r="AE11" s="305" t="s">
        <v>586</v>
      </c>
      <c r="AF11" s="305" t="s">
        <v>587</v>
      </c>
      <c r="AG11" s="305" t="s">
        <v>588</v>
      </c>
      <c r="AH11" s="305" t="s">
        <v>589</v>
      </c>
      <c r="AI11" s="305" t="s">
        <v>590</v>
      </c>
      <c r="AJ11" s="305" t="s">
        <v>591</v>
      </c>
      <c r="AK11" s="305">
        <v>2040</v>
      </c>
    </row>
    <row r="12" spans="1:37">
      <c r="B12" s="476"/>
      <c r="C12" s="476"/>
      <c r="D12" s="476"/>
      <c r="E12" s="476"/>
      <c r="F12" s="476"/>
    </row>
    <row r="13" spans="1:37">
      <c r="B13" s="476"/>
      <c r="C13" s="476"/>
      <c r="D13" s="476"/>
      <c r="E13" s="476"/>
      <c r="F13" s="476"/>
    </row>
    <row r="14" spans="1:37">
      <c r="A14" s="6" t="s">
        <v>32</v>
      </c>
      <c r="B14" s="476"/>
      <c r="C14" s="476"/>
      <c r="D14" s="476"/>
      <c r="E14" s="476"/>
      <c r="F14" s="476"/>
    </row>
    <row r="15" spans="1:37">
      <c r="A15" s="6" t="s">
        <v>33</v>
      </c>
      <c r="B15" s="476"/>
      <c r="C15" s="476"/>
      <c r="D15" s="476"/>
      <c r="E15" s="476"/>
      <c r="F15" s="476"/>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505">
        <v>1E-4</v>
      </c>
      <c r="H33" s="505">
        <v>1E-4</v>
      </c>
      <c r="I33" s="505">
        <v>1E-4</v>
      </c>
      <c r="J33" s="505">
        <v>1E-4</v>
      </c>
      <c r="K33" s="505">
        <v>1E-4</v>
      </c>
      <c r="L33" s="505">
        <v>1E-4</v>
      </c>
      <c r="M33" s="505">
        <v>1E-4</v>
      </c>
      <c r="N33" s="505">
        <v>1E-4</v>
      </c>
      <c r="O33" s="505">
        <v>1E-4</v>
      </c>
      <c r="P33" s="505">
        <v>1E-4</v>
      </c>
      <c r="Q33" s="505">
        <v>1E-4</v>
      </c>
      <c r="R33" s="505">
        <v>1E-4</v>
      </c>
      <c r="S33" s="505">
        <v>1E-4</v>
      </c>
      <c r="T33" s="505">
        <v>1E-4</v>
      </c>
      <c r="U33" s="505">
        <v>1E-4</v>
      </c>
      <c r="V33" s="505">
        <v>1E-4</v>
      </c>
      <c r="W33" s="505">
        <v>1E-4</v>
      </c>
      <c r="X33" s="505">
        <v>1E-4</v>
      </c>
      <c r="Y33" s="505">
        <v>1E-4</v>
      </c>
      <c r="Z33" s="505">
        <v>1E-4</v>
      </c>
      <c r="AA33" s="505">
        <v>1E-4</v>
      </c>
      <c r="AB33" s="505">
        <v>1E-4</v>
      </c>
      <c r="AC33" s="505">
        <v>1E-4</v>
      </c>
      <c r="AD33" s="505">
        <v>1E-4</v>
      </c>
      <c r="AE33" s="505">
        <v>1E-4</v>
      </c>
      <c r="AF33" s="505">
        <v>1E-4</v>
      </c>
      <c r="AG33" s="505">
        <v>1E-4</v>
      </c>
      <c r="AH33" s="505">
        <v>1E-4</v>
      </c>
      <c r="AI33" s="505">
        <v>1E-4</v>
      </c>
      <c r="AJ33" s="505">
        <v>1E-4</v>
      </c>
      <c r="AK33"/>
    </row>
    <row r="34" spans="1:39" s="18" customFormat="1">
      <c r="A34" s="17" t="s">
        <v>662</v>
      </c>
      <c r="B34"/>
      <c r="C34"/>
      <c r="D34"/>
      <c r="E34"/>
      <c r="F34"/>
      <c r="G34" s="505">
        <v>1E-4</v>
      </c>
      <c r="H34" s="505">
        <v>1E-4</v>
      </c>
      <c r="I34" s="505">
        <v>1E-4</v>
      </c>
      <c r="J34" s="505">
        <v>1E-4</v>
      </c>
      <c r="K34" s="505">
        <v>1E-4</v>
      </c>
      <c r="L34" s="505">
        <v>1E-4</v>
      </c>
      <c r="M34" s="505">
        <v>1E-4</v>
      </c>
      <c r="N34" s="505">
        <v>1E-4</v>
      </c>
      <c r="O34" s="505">
        <v>1E-4</v>
      </c>
      <c r="P34" s="505">
        <v>1E-4</v>
      </c>
      <c r="Q34" s="505">
        <v>1E-4</v>
      </c>
      <c r="R34" s="505">
        <v>1E-4</v>
      </c>
      <c r="S34" s="505">
        <v>1E-4</v>
      </c>
      <c r="T34" s="505">
        <v>1E-4</v>
      </c>
      <c r="U34" s="505">
        <v>1E-4</v>
      </c>
      <c r="V34" s="505">
        <v>1E-4</v>
      </c>
      <c r="W34" s="505">
        <v>1E-4</v>
      </c>
      <c r="X34" s="505">
        <v>1E-4</v>
      </c>
      <c r="Y34" s="505">
        <v>1E-4</v>
      </c>
      <c r="Z34" s="505">
        <v>1E-4</v>
      </c>
      <c r="AA34" s="505">
        <v>1E-4</v>
      </c>
      <c r="AB34" s="505">
        <v>1E-4</v>
      </c>
      <c r="AC34" s="505">
        <v>1E-4</v>
      </c>
      <c r="AD34" s="505">
        <v>1E-4</v>
      </c>
      <c r="AE34" s="505">
        <v>1E-4</v>
      </c>
      <c r="AF34" s="505">
        <v>1E-4</v>
      </c>
      <c r="AG34" s="505">
        <v>1E-4</v>
      </c>
      <c r="AH34" s="505">
        <v>1E-4</v>
      </c>
      <c r="AI34" s="505">
        <v>1E-4</v>
      </c>
      <c r="AJ34" s="505">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505">
        <v>1E-4</v>
      </c>
      <c r="H54" s="505">
        <v>1E-4</v>
      </c>
      <c r="I54" s="505">
        <v>1E-4</v>
      </c>
      <c r="J54" s="505">
        <v>1E-4</v>
      </c>
      <c r="K54" s="505">
        <v>1E-4</v>
      </c>
      <c r="L54" s="505">
        <v>1E-4</v>
      </c>
      <c r="M54" s="505">
        <v>1E-4</v>
      </c>
      <c r="N54" s="505">
        <v>1E-4</v>
      </c>
      <c r="O54" s="505">
        <v>1E-4</v>
      </c>
      <c r="P54" s="505">
        <v>1E-4</v>
      </c>
      <c r="Q54" s="505">
        <v>1E-4</v>
      </c>
      <c r="R54" s="505">
        <v>1E-4</v>
      </c>
      <c r="S54" s="505">
        <v>1E-4</v>
      </c>
      <c r="T54" s="505">
        <v>1E-4</v>
      </c>
      <c r="U54" s="505">
        <v>1E-4</v>
      </c>
      <c r="V54" s="505">
        <v>1E-4</v>
      </c>
      <c r="W54" s="505">
        <v>1E-4</v>
      </c>
      <c r="X54" s="505">
        <v>1E-4</v>
      </c>
      <c r="Y54" s="505">
        <v>1E-4</v>
      </c>
      <c r="Z54" s="505">
        <v>1E-4</v>
      </c>
      <c r="AA54" s="505">
        <v>1E-4</v>
      </c>
      <c r="AB54" s="505">
        <v>1E-4</v>
      </c>
      <c r="AC54" s="505">
        <v>1E-4</v>
      </c>
      <c r="AD54" s="505">
        <v>1E-4</v>
      </c>
      <c r="AE54" s="505">
        <v>1E-4</v>
      </c>
      <c r="AF54" s="505">
        <v>1E-4</v>
      </c>
      <c r="AG54" s="505">
        <v>1E-4</v>
      </c>
      <c r="AH54" s="505">
        <v>1E-4</v>
      </c>
      <c r="AI54" s="505">
        <v>1E-4</v>
      </c>
      <c r="AJ54" s="505">
        <v>1E-4</v>
      </c>
      <c r="AK54" s="509">
        <v>9.9000000000000005E-2</v>
      </c>
      <c r="AL54" s="18" t="s">
        <v>743</v>
      </c>
      <c r="AM54" s="18" t="s">
        <v>746</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c r="AL55" s="517" t="s">
        <v>729</v>
      </c>
      <c r="AM55" s="29">
        <v>0</v>
      </c>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c r="AL56" s="517" t="s">
        <v>730</v>
      </c>
      <c r="AM56" s="29">
        <v>0.22</v>
      </c>
    </row>
    <row r="57" spans="1:39" s="252" customFormat="1">
      <c r="A57" s="252" t="s">
        <v>350</v>
      </c>
      <c r="B57"/>
      <c r="C57"/>
      <c r="D57"/>
      <c r="E57"/>
      <c r="F57"/>
      <c r="G57"/>
      <c r="H57"/>
      <c r="I57"/>
      <c r="J57"/>
      <c r="K57"/>
      <c r="L57"/>
      <c r="M57"/>
      <c r="N57"/>
      <c r="O57"/>
      <c r="P57"/>
      <c r="Q57"/>
      <c r="R57"/>
      <c r="S57"/>
      <c r="T57"/>
      <c r="U57"/>
      <c r="V57"/>
      <c r="W57"/>
      <c r="X57"/>
      <c r="Y57"/>
      <c r="Z57"/>
      <c r="AA57"/>
      <c r="AB57"/>
      <c r="AC57"/>
      <c r="AD57"/>
      <c r="AE57"/>
      <c r="AF57"/>
      <c r="AG57"/>
      <c r="AH57"/>
      <c r="AI57"/>
      <c r="AJ57"/>
      <c r="AK57"/>
      <c r="AL57" s="517" t="s">
        <v>731</v>
      </c>
      <c r="AM57" s="29">
        <v>0</v>
      </c>
    </row>
    <row r="58" spans="1:39" s="252" customFormat="1">
      <c r="A58" s="251" t="s">
        <v>349</v>
      </c>
      <c r="B58"/>
      <c r="C58"/>
      <c r="D58"/>
      <c r="E58"/>
      <c r="F58"/>
      <c r="G58"/>
      <c r="H58"/>
      <c r="I58"/>
      <c r="J58"/>
      <c r="K58"/>
      <c r="L58"/>
      <c r="M58"/>
      <c r="N58"/>
      <c r="O58"/>
      <c r="P58"/>
      <c r="Q58"/>
      <c r="R58"/>
      <c r="S58"/>
      <c r="T58"/>
      <c r="U58"/>
      <c r="V58"/>
      <c r="W58"/>
      <c r="X58"/>
      <c r="Y58"/>
      <c r="Z58"/>
      <c r="AA58"/>
      <c r="AB58"/>
      <c r="AC58"/>
      <c r="AD58"/>
      <c r="AE58"/>
      <c r="AF58"/>
      <c r="AG58"/>
      <c r="AH58"/>
      <c r="AI58"/>
      <c r="AJ58"/>
      <c r="AK58"/>
      <c r="AL58" s="517" t="s">
        <v>143</v>
      </c>
      <c r="AM58" s="29">
        <v>0</v>
      </c>
    </row>
    <row r="59" spans="1:39">
      <c r="A59" s="6" t="s">
        <v>742</v>
      </c>
      <c r="B59"/>
      <c r="C59"/>
      <c r="D59"/>
      <c r="E59"/>
      <c r="F59"/>
      <c r="G59"/>
      <c r="H59"/>
      <c r="I59"/>
      <c r="J59"/>
      <c r="K59"/>
      <c r="L59"/>
      <c r="M59"/>
      <c r="N59"/>
      <c r="O59"/>
      <c r="P59"/>
      <c r="Q59"/>
      <c r="R59"/>
      <c r="S59"/>
      <c r="T59"/>
      <c r="U59"/>
      <c r="V59"/>
      <c r="W59"/>
      <c r="X59"/>
      <c r="Y59"/>
      <c r="Z59"/>
      <c r="AA59"/>
      <c r="AB59"/>
      <c r="AC59"/>
      <c r="AD59"/>
      <c r="AE59"/>
      <c r="AF59"/>
      <c r="AG59"/>
      <c r="AH59"/>
      <c r="AI59"/>
      <c r="AJ59"/>
      <c r="AK59"/>
      <c r="AL59" s="517" t="s">
        <v>732</v>
      </c>
      <c r="AM59" s="29">
        <v>0.32890318771029975</v>
      </c>
    </row>
    <row r="60" spans="1:39">
      <c r="A60" s="507" t="s">
        <v>735</v>
      </c>
      <c r="G60" s="505">
        <v>4.7982909999999999</v>
      </c>
      <c r="H60" s="505">
        <v>4.5820410000000003</v>
      </c>
      <c r="I60" s="505">
        <v>6.8760719999999997</v>
      </c>
      <c r="J60" s="505">
        <v>7.0261959999999997</v>
      </c>
      <c r="K60" s="505">
        <v>7.1745609999999997</v>
      </c>
      <c r="L60" s="505">
        <v>7.323404</v>
      </c>
      <c r="M60" s="505">
        <v>7.4545560000000002</v>
      </c>
      <c r="N60" s="505">
        <v>7.4545430000000001</v>
      </c>
      <c r="O60" s="505">
        <v>7.4545430000000001</v>
      </c>
      <c r="P60" s="505">
        <v>7.4545430000000001</v>
      </c>
      <c r="Q60" s="505">
        <v>7.4545430000000001</v>
      </c>
      <c r="R60" s="505">
        <v>7.4545430000000001</v>
      </c>
      <c r="S60" s="505">
        <v>7.4545430000000001</v>
      </c>
      <c r="T60" s="505">
        <v>7.4545430000000001</v>
      </c>
      <c r="U60" s="505">
        <v>7.4545430000000001</v>
      </c>
      <c r="V60" s="505">
        <v>7.4545430000000001</v>
      </c>
      <c r="W60" s="505">
        <v>7.4545430000000001</v>
      </c>
      <c r="X60" s="505">
        <v>7.4545430000000001</v>
      </c>
      <c r="Y60" s="505">
        <v>7.4545430000000001</v>
      </c>
      <c r="Z60" s="505">
        <v>7.4545430000000001</v>
      </c>
      <c r="AA60" s="505">
        <v>7.4545430000000001</v>
      </c>
      <c r="AB60" s="505">
        <v>7.5194049999999999</v>
      </c>
      <c r="AC60" s="505">
        <v>7.5194049999999999</v>
      </c>
      <c r="AD60" s="505">
        <v>7.5194049999999999</v>
      </c>
      <c r="AE60" s="505">
        <v>7.5194049999999999</v>
      </c>
      <c r="AF60" s="505">
        <v>7.5194049999999999</v>
      </c>
      <c r="AG60" s="505">
        <v>7.5194049999999999</v>
      </c>
      <c r="AH60" s="505">
        <v>7.5194049999999999</v>
      </c>
      <c r="AI60" s="505">
        <v>7.5194049999999999</v>
      </c>
      <c r="AJ60" s="505">
        <v>7.5194049999999999</v>
      </c>
      <c r="AK60" s="509">
        <v>1.7999999999999999E-2</v>
      </c>
      <c r="AL60" s="517" t="s">
        <v>733</v>
      </c>
      <c r="AM60" s="29">
        <v>0.76577298569014085</v>
      </c>
    </row>
    <row r="61" spans="1:39">
      <c r="A61" s="507" t="s">
        <v>736</v>
      </c>
      <c r="G61" s="505">
        <v>0.01</v>
      </c>
      <c r="H61" s="505">
        <v>0.01</v>
      </c>
      <c r="I61" s="505">
        <v>0.01</v>
      </c>
      <c r="J61" s="505">
        <v>0.01</v>
      </c>
      <c r="K61" s="505">
        <v>0.01</v>
      </c>
      <c r="L61" s="505">
        <v>0.01</v>
      </c>
      <c r="M61" s="505">
        <v>0.01</v>
      </c>
      <c r="N61" s="505">
        <v>0.01</v>
      </c>
      <c r="O61" s="505">
        <v>0.01</v>
      </c>
      <c r="P61" s="505">
        <v>0.01</v>
      </c>
      <c r="Q61" s="505">
        <v>0.01</v>
      </c>
      <c r="R61" s="505">
        <v>0.01</v>
      </c>
      <c r="S61" s="505">
        <v>0.01</v>
      </c>
      <c r="T61" s="505">
        <v>0.01</v>
      </c>
      <c r="U61" s="505">
        <v>0.01</v>
      </c>
      <c r="V61" s="505">
        <v>0.01</v>
      </c>
      <c r="W61" s="505">
        <v>0.01</v>
      </c>
      <c r="X61" s="505">
        <v>0.01</v>
      </c>
      <c r="Y61" s="505">
        <v>0.01</v>
      </c>
      <c r="Z61" s="505">
        <v>0.01</v>
      </c>
      <c r="AA61" s="505">
        <v>0.01</v>
      </c>
      <c r="AB61" s="505">
        <v>0.01</v>
      </c>
      <c r="AC61" s="505">
        <v>0.01</v>
      </c>
      <c r="AD61" s="505">
        <v>0.01</v>
      </c>
      <c r="AE61" s="505">
        <v>0.01</v>
      </c>
      <c r="AF61" s="505">
        <v>0.01</v>
      </c>
      <c r="AG61" s="505">
        <v>0.01</v>
      </c>
      <c r="AH61" s="505">
        <v>0.01</v>
      </c>
      <c r="AI61" s="505">
        <v>0.01</v>
      </c>
      <c r="AJ61" s="505">
        <v>0.01</v>
      </c>
      <c r="AK61" s="505" t="s">
        <v>41</v>
      </c>
      <c r="AL61" s="517" t="s">
        <v>734</v>
      </c>
      <c r="AM61" s="29">
        <v>0.60721879021879022</v>
      </c>
    </row>
    <row r="62" spans="1:39">
      <c r="A62" s="507" t="s">
        <v>737</v>
      </c>
      <c r="G62" s="505">
        <v>1.286754</v>
      </c>
      <c r="H62" s="505">
        <v>1.5206</v>
      </c>
      <c r="I62" s="505">
        <v>1.1131450000000001</v>
      </c>
      <c r="J62" s="505">
        <v>1.1821900000000001</v>
      </c>
      <c r="K62" s="505">
        <v>1.182823</v>
      </c>
      <c r="L62" s="505">
        <v>1.194078</v>
      </c>
      <c r="M62" s="505">
        <v>1.1983969999999999</v>
      </c>
      <c r="N62" s="505">
        <v>1.198885</v>
      </c>
      <c r="O62" s="505">
        <v>1.1980919999999999</v>
      </c>
      <c r="P62" s="505">
        <v>1.1955659999999999</v>
      </c>
      <c r="Q62" s="505">
        <v>1.1940580000000001</v>
      </c>
      <c r="R62" s="505">
        <v>1.1927779999999999</v>
      </c>
      <c r="S62" s="505">
        <v>1.191578</v>
      </c>
      <c r="T62" s="505">
        <v>1.190385</v>
      </c>
      <c r="U62" s="505">
        <v>1.1889799999999999</v>
      </c>
      <c r="V62" s="505">
        <v>1.1874130000000001</v>
      </c>
      <c r="W62" s="505">
        <v>1.185824</v>
      </c>
      <c r="X62" s="505">
        <v>1.1833899999999999</v>
      </c>
      <c r="Y62" s="505">
        <v>1.1814880000000001</v>
      </c>
      <c r="Z62" s="505">
        <v>1.1788730000000001</v>
      </c>
      <c r="AA62" s="505">
        <v>1.1763060000000001</v>
      </c>
      <c r="AB62" s="505">
        <v>1.1737169999999999</v>
      </c>
      <c r="AC62" s="505">
        <v>1.1712260000000001</v>
      </c>
      <c r="AD62" s="505">
        <v>1.169046</v>
      </c>
      <c r="AE62" s="505">
        <v>1.166703</v>
      </c>
      <c r="AF62" s="505">
        <v>1.164622</v>
      </c>
      <c r="AG62" s="505">
        <v>1.162749</v>
      </c>
      <c r="AH62" s="505">
        <v>1.16106</v>
      </c>
      <c r="AI62" s="505">
        <v>1.159286</v>
      </c>
      <c r="AJ62" s="505">
        <v>1.157532</v>
      </c>
      <c r="AK62" s="509">
        <v>-0.01</v>
      </c>
      <c r="AL62" s="518" t="s">
        <v>58</v>
      </c>
      <c r="AM62" s="29">
        <v>0.28717149066307118</v>
      </c>
    </row>
    <row r="63" spans="1:39">
      <c r="A63" s="507" t="s">
        <v>738</v>
      </c>
      <c r="G63" s="505">
        <v>5.1980490000000001</v>
      </c>
      <c r="H63" s="505">
        <v>5.4786650000000003</v>
      </c>
      <c r="I63" s="505">
        <v>6.1845670000000004</v>
      </c>
      <c r="J63" s="505">
        <v>6.2711980000000001</v>
      </c>
      <c r="K63" s="505">
        <v>6.4050919999999998</v>
      </c>
      <c r="L63" s="505">
        <v>10.158561000000001</v>
      </c>
      <c r="M63" s="505">
        <v>9.0863490000000002</v>
      </c>
      <c r="N63" s="505">
        <v>9.3779559999999993</v>
      </c>
      <c r="O63" s="505">
        <v>10.494590000000001</v>
      </c>
      <c r="P63" s="505">
        <v>13.420362000000001</v>
      </c>
      <c r="Q63" s="505">
        <v>17.926575</v>
      </c>
      <c r="R63" s="505">
        <v>18.275977999999999</v>
      </c>
      <c r="S63" s="505">
        <v>18.976327999999999</v>
      </c>
      <c r="T63" s="505">
        <v>19.094166000000001</v>
      </c>
      <c r="U63" s="505">
        <v>19.271854000000001</v>
      </c>
      <c r="V63" s="505">
        <v>19.291727000000002</v>
      </c>
      <c r="W63" s="505">
        <v>19.128564999999998</v>
      </c>
      <c r="X63" s="505">
        <v>19.217549999999999</v>
      </c>
      <c r="Y63" s="505">
        <v>19.287115</v>
      </c>
      <c r="Z63" s="505">
        <v>19.123767999999998</v>
      </c>
      <c r="AA63" s="505">
        <v>19.233367999999999</v>
      </c>
      <c r="AB63" s="505">
        <v>19.176537</v>
      </c>
      <c r="AC63" s="505">
        <v>19.212676999999999</v>
      </c>
      <c r="AD63" s="505">
        <v>19.346492999999999</v>
      </c>
      <c r="AE63" s="505">
        <v>19.434346999999999</v>
      </c>
      <c r="AF63" s="505">
        <v>19.545117999999999</v>
      </c>
      <c r="AG63" s="505">
        <v>19.638821</v>
      </c>
      <c r="AH63" s="505">
        <v>19.608941999999999</v>
      </c>
      <c r="AI63" s="505">
        <v>19.712223000000002</v>
      </c>
      <c r="AJ63" s="505">
        <v>19.801888000000002</v>
      </c>
      <c r="AK63" s="509">
        <v>4.7E-2</v>
      </c>
      <c r="AL63"/>
      <c r="AM63"/>
    </row>
    <row r="64" spans="1:39">
      <c r="A64" s="507" t="s">
        <v>739</v>
      </c>
      <c r="G64" s="505">
        <v>8.4653999999999993E-2</v>
      </c>
      <c r="H64" s="505">
        <v>0.281134</v>
      </c>
      <c r="I64" s="505">
        <v>0.49848700000000001</v>
      </c>
      <c r="J64" s="505">
        <v>0.74607599999999996</v>
      </c>
      <c r="K64" s="505">
        <v>1.209678</v>
      </c>
      <c r="L64" s="505">
        <v>1.9157759999999999</v>
      </c>
      <c r="M64" s="505">
        <v>2.1337199999999998</v>
      </c>
      <c r="N64" s="505">
        <v>2.141038</v>
      </c>
      <c r="O64" s="505">
        <v>2.1533150000000001</v>
      </c>
      <c r="P64" s="505">
        <v>2.1740370000000002</v>
      </c>
      <c r="Q64" s="505">
        <v>2.2009810000000001</v>
      </c>
      <c r="R64" s="505">
        <v>2.2301959999999998</v>
      </c>
      <c r="S64" s="505">
        <v>2.2617889999999998</v>
      </c>
      <c r="T64" s="505">
        <v>2.295912</v>
      </c>
      <c r="U64" s="505">
        <v>2.3545859999999998</v>
      </c>
      <c r="V64" s="505">
        <v>2.4380630000000001</v>
      </c>
      <c r="W64" s="505">
        <v>2.4986280000000001</v>
      </c>
      <c r="X64" s="505">
        <v>2.6137459999999999</v>
      </c>
      <c r="Y64" s="505">
        <v>2.8103940000000001</v>
      </c>
      <c r="Z64" s="505">
        <v>3.0602019999999999</v>
      </c>
      <c r="AA64" s="505">
        <v>3.3894690000000001</v>
      </c>
      <c r="AB64" s="505">
        <v>3.5715150000000002</v>
      </c>
      <c r="AC64" s="505">
        <v>3.7103060000000001</v>
      </c>
      <c r="AD64" s="505">
        <v>4.04732</v>
      </c>
      <c r="AE64" s="505">
        <v>4.5012660000000002</v>
      </c>
      <c r="AF64" s="505">
        <v>5.0900470000000002</v>
      </c>
      <c r="AG64" s="505">
        <v>6.202026</v>
      </c>
      <c r="AH64" s="505">
        <v>8.3394779999999997</v>
      </c>
      <c r="AI64" s="505">
        <v>10.122036</v>
      </c>
      <c r="AJ64" s="505">
        <v>11.716043000000001</v>
      </c>
      <c r="AK64" s="509">
        <v>0.14199999999999999</v>
      </c>
      <c r="AL64"/>
      <c r="AM64"/>
    </row>
    <row r="65" spans="1:39">
      <c r="A65" s="507" t="s">
        <v>740</v>
      </c>
      <c r="G65" s="505">
        <v>6.0000000000000002E-6</v>
      </c>
      <c r="H65" s="505">
        <v>6.0000000000000002E-6</v>
      </c>
      <c r="I65" s="505">
        <v>6.0000000000000002E-6</v>
      </c>
      <c r="J65" s="505">
        <v>6.0000000000000002E-6</v>
      </c>
      <c r="K65" s="505">
        <v>2.7954859999999999</v>
      </c>
      <c r="L65" s="505">
        <v>3.811191</v>
      </c>
      <c r="M65" s="505">
        <v>3.811191</v>
      </c>
      <c r="N65" s="505">
        <v>3.8117320000000001</v>
      </c>
      <c r="O65" s="505">
        <v>3.811553</v>
      </c>
      <c r="P65" s="505">
        <v>3.8116349999999999</v>
      </c>
      <c r="Q65" s="505">
        <v>3.811528</v>
      </c>
      <c r="R65" s="505">
        <v>3.811528</v>
      </c>
      <c r="S65" s="505">
        <v>3.8097629999999998</v>
      </c>
      <c r="T65" s="505">
        <v>3.8099150000000002</v>
      </c>
      <c r="U65" s="505">
        <v>3.8350569999999999</v>
      </c>
      <c r="V65" s="505">
        <v>3.8893430000000002</v>
      </c>
      <c r="W65" s="505">
        <v>3.9125679999999998</v>
      </c>
      <c r="X65" s="505">
        <v>3.9412150000000001</v>
      </c>
      <c r="Y65" s="505">
        <v>4.0068789999999996</v>
      </c>
      <c r="Z65" s="505">
        <v>4.0949749999999998</v>
      </c>
      <c r="AA65" s="505">
        <v>4.2196939999999996</v>
      </c>
      <c r="AB65" s="505">
        <v>4.2782439999999999</v>
      </c>
      <c r="AC65" s="505">
        <v>4.3081370000000003</v>
      </c>
      <c r="AD65" s="505">
        <v>4.4050229999999999</v>
      </c>
      <c r="AE65" s="505">
        <v>4.4557390000000003</v>
      </c>
      <c r="AF65" s="505">
        <v>4.4568289999999999</v>
      </c>
      <c r="AG65" s="505">
        <v>4.5794639999999998</v>
      </c>
      <c r="AH65" s="505">
        <v>4.6639439999999999</v>
      </c>
      <c r="AI65" s="505">
        <v>4.837936</v>
      </c>
      <c r="AJ65" s="505">
        <v>5.0758099999999997</v>
      </c>
      <c r="AK65" s="509">
        <v>0.626</v>
      </c>
      <c r="AL65"/>
      <c r="AM65"/>
    </row>
    <row r="66" spans="1:39">
      <c r="A66" s="508" t="s">
        <v>741</v>
      </c>
      <c r="G66" s="506">
        <v>11.367754</v>
      </c>
      <c r="H66" s="506">
        <v>11.862446</v>
      </c>
      <c r="I66" s="506">
        <v>14.672276</v>
      </c>
      <c r="J66" s="506">
        <v>15.225666</v>
      </c>
      <c r="K66" s="506">
        <v>18.767638999999999</v>
      </c>
      <c r="L66" s="506">
        <v>24.403010999999999</v>
      </c>
      <c r="M66" s="506">
        <v>23.684215999999999</v>
      </c>
      <c r="N66" s="506">
        <v>23.984154</v>
      </c>
      <c r="O66" s="506">
        <v>25.112093000000002</v>
      </c>
      <c r="P66" s="506">
        <v>28.056145000000001</v>
      </c>
      <c r="Q66" s="506">
        <v>32.587685</v>
      </c>
      <c r="R66" s="506">
        <v>32.965023000000002</v>
      </c>
      <c r="S66" s="506">
        <v>33.694000000000003</v>
      </c>
      <c r="T66" s="506">
        <v>33.844920999999999</v>
      </c>
      <c r="U66" s="506">
        <v>34.105018999999999</v>
      </c>
      <c r="V66" s="506">
        <v>34.261088999999998</v>
      </c>
      <c r="W66" s="506">
        <v>34.180129999999998</v>
      </c>
      <c r="X66" s="506">
        <v>34.410446</v>
      </c>
      <c r="Y66" s="506">
        <v>34.740417000000001</v>
      </c>
      <c r="Z66" s="506">
        <v>34.912360999999997</v>
      </c>
      <c r="AA66" s="506">
        <v>35.473381000000003</v>
      </c>
      <c r="AB66" s="506">
        <v>35.719417999999997</v>
      </c>
      <c r="AC66" s="506">
        <v>35.921753000000002</v>
      </c>
      <c r="AD66" s="506">
        <v>36.487285999999997</v>
      </c>
      <c r="AE66" s="506">
        <v>37.077457000000003</v>
      </c>
      <c r="AF66" s="506">
        <v>37.776020000000003</v>
      </c>
      <c r="AG66" s="506">
        <v>39.102466999999997</v>
      </c>
      <c r="AH66" s="506">
        <v>41.292828</v>
      </c>
      <c r="AI66" s="506">
        <v>43.350887</v>
      </c>
      <c r="AJ66" s="506">
        <v>45.270679000000001</v>
      </c>
      <c r="AK66" s="510">
        <v>4.9000000000000002E-2</v>
      </c>
      <c r="AL66"/>
      <c r="AM66"/>
    </row>
    <row r="67" spans="1:39">
      <c r="A67" s="519"/>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s="6"/>
      <c r="B69" s="477"/>
      <c r="C69" s="477"/>
      <c r="D69" s="477"/>
      <c r="E69" s="477"/>
      <c r="F69" s="477"/>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3"/>
    </row>
    <row r="70" spans="1:39" s="90" customFormat="1">
      <c r="B70" s="478" t="s">
        <v>7</v>
      </c>
      <c r="C70" s="478" t="s">
        <v>8</v>
      </c>
      <c r="D70" s="478" t="s">
        <v>9</v>
      </c>
      <c r="E70" s="478" t="s">
        <v>10</v>
      </c>
      <c r="F70" s="478" t="s">
        <v>11</v>
      </c>
      <c r="G70" s="324" t="s">
        <v>12</v>
      </c>
      <c r="H70" s="324" t="s">
        <v>13</v>
      </c>
      <c r="I70" s="324" t="s">
        <v>14</v>
      </c>
      <c r="J70" s="324" t="s">
        <v>15</v>
      </c>
      <c r="K70" s="324" t="s">
        <v>16</v>
      </c>
      <c r="L70" s="324" t="s">
        <v>17</v>
      </c>
      <c r="M70" s="324" t="s">
        <v>18</v>
      </c>
      <c r="N70" s="324" t="s">
        <v>19</v>
      </c>
      <c r="O70" s="324" t="s">
        <v>20</v>
      </c>
      <c r="P70" s="324" t="s">
        <v>21</v>
      </c>
      <c r="Q70" s="324" t="s">
        <v>22</v>
      </c>
      <c r="R70" s="324" t="s">
        <v>23</v>
      </c>
      <c r="S70" s="324" t="s">
        <v>24</v>
      </c>
      <c r="T70" s="324" t="s">
        <v>25</v>
      </c>
      <c r="U70" s="324" t="s">
        <v>26</v>
      </c>
      <c r="V70" s="324" t="s">
        <v>27</v>
      </c>
      <c r="W70" s="324" t="s">
        <v>28</v>
      </c>
      <c r="X70" s="324" t="s">
        <v>29</v>
      </c>
      <c r="Y70" s="324" t="s">
        <v>30</v>
      </c>
      <c r="Z70" s="324" t="s">
        <v>31</v>
      </c>
      <c r="AA70" s="324" t="s">
        <v>582</v>
      </c>
      <c r="AB70" s="324" t="s">
        <v>583</v>
      </c>
      <c r="AC70" s="324" t="s">
        <v>584</v>
      </c>
      <c r="AD70" s="324" t="s">
        <v>585</v>
      </c>
      <c r="AE70" s="324" t="s">
        <v>586</v>
      </c>
      <c r="AF70" s="324" t="s">
        <v>587</v>
      </c>
      <c r="AG70" s="324" t="s">
        <v>588</v>
      </c>
      <c r="AH70" s="324" t="s">
        <v>589</v>
      </c>
      <c r="AI70" s="324" t="s">
        <v>590</v>
      </c>
      <c r="AJ70" s="324" t="s">
        <v>591</v>
      </c>
      <c r="AK70" s="324" t="s">
        <v>594</v>
      </c>
    </row>
    <row r="71" spans="1:39">
      <c r="B71" s="476"/>
      <c r="C71" s="476"/>
      <c r="D71" s="476"/>
      <c r="E71" s="476"/>
      <c r="F71" s="476"/>
    </row>
    <row r="72" spans="1:39" s="18" customFormat="1">
      <c r="A72" s="17" t="s">
        <v>55</v>
      </c>
      <c r="B72" s="479"/>
      <c r="C72" s="479"/>
      <c r="D72" s="479"/>
      <c r="E72" s="479"/>
      <c r="F72" s="479"/>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row>
    <row r="73" spans="1:39" s="18" customFormat="1">
      <c r="A73" s="17" t="s">
        <v>49</v>
      </c>
      <c r="B73" s="497">
        <v>1.351</v>
      </c>
      <c r="C73" s="497">
        <v>1.248</v>
      </c>
      <c r="D73" s="497">
        <v>1.0109999999999999</v>
      </c>
      <c r="E73" s="497">
        <v>1.4790000000000001</v>
      </c>
      <c r="F73" s="497">
        <v>1.5</v>
      </c>
      <c r="G73" s="490">
        <f>G60*$AM56</f>
        <v>1.05562402</v>
      </c>
      <c r="H73" s="490">
        <f t="shared" ref="H73:AJ73" si="0">H60*$AM56</f>
        <v>1.0080490200000001</v>
      </c>
      <c r="I73" s="490">
        <f t="shared" si="0"/>
        <v>1.5127358399999999</v>
      </c>
      <c r="J73" s="490">
        <f t="shared" si="0"/>
        <v>1.5457631199999999</v>
      </c>
      <c r="K73" s="490">
        <f t="shared" si="0"/>
        <v>1.5784034199999999</v>
      </c>
      <c r="L73" s="490">
        <f t="shared" si="0"/>
        <v>1.61114888</v>
      </c>
      <c r="M73" s="490">
        <f t="shared" si="0"/>
        <v>1.64000232</v>
      </c>
      <c r="N73" s="490">
        <f t="shared" si="0"/>
        <v>1.6399994600000001</v>
      </c>
      <c r="O73" s="490">
        <f t="shared" si="0"/>
        <v>1.6399994600000001</v>
      </c>
      <c r="P73" s="490">
        <f t="shared" si="0"/>
        <v>1.6399994600000001</v>
      </c>
      <c r="Q73" s="490">
        <f t="shared" si="0"/>
        <v>1.6399994600000001</v>
      </c>
      <c r="R73" s="490">
        <f t="shared" si="0"/>
        <v>1.6399994600000001</v>
      </c>
      <c r="S73" s="490">
        <f t="shared" si="0"/>
        <v>1.6399994600000001</v>
      </c>
      <c r="T73" s="490">
        <f t="shared" si="0"/>
        <v>1.6399994600000001</v>
      </c>
      <c r="U73" s="490">
        <f t="shared" si="0"/>
        <v>1.6399994600000001</v>
      </c>
      <c r="V73" s="490">
        <f t="shared" si="0"/>
        <v>1.6399994600000001</v>
      </c>
      <c r="W73" s="490">
        <f t="shared" si="0"/>
        <v>1.6399994600000001</v>
      </c>
      <c r="X73" s="490">
        <f t="shared" si="0"/>
        <v>1.6399994600000001</v>
      </c>
      <c r="Y73" s="490">
        <f t="shared" si="0"/>
        <v>1.6399994600000001</v>
      </c>
      <c r="Z73" s="490">
        <f t="shared" si="0"/>
        <v>1.6399994600000001</v>
      </c>
      <c r="AA73" s="490">
        <f t="shared" si="0"/>
        <v>1.6399994600000001</v>
      </c>
      <c r="AB73" s="490">
        <f t="shared" si="0"/>
        <v>1.6542691</v>
      </c>
      <c r="AC73" s="490">
        <f t="shared" si="0"/>
        <v>1.6542691</v>
      </c>
      <c r="AD73" s="490">
        <f t="shared" si="0"/>
        <v>1.6542691</v>
      </c>
      <c r="AE73" s="490">
        <f t="shared" si="0"/>
        <v>1.6542691</v>
      </c>
      <c r="AF73" s="490">
        <f t="shared" si="0"/>
        <v>1.6542691</v>
      </c>
      <c r="AG73" s="490">
        <f t="shared" si="0"/>
        <v>1.6542691</v>
      </c>
      <c r="AH73" s="490">
        <f t="shared" si="0"/>
        <v>1.6542691</v>
      </c>
      <c r="AI73" s="490">
        <f t="shared" si="0"/>
        <v>1.6542691</v>
      </c>
      <c r="AJ73" s="490">
        <f t="shared" si="0"/>
        <v>1.6542691</v>
      </c>
      <c r="AK73" s="491"/>
    </row>
    <row r="74" spans="1:39" s="18" customFormat="1">
      <c r="A74" s="17" t="s">
        <v>50</v>
      </c>
      <c r="B74" s="497">
        <v>0</v>
      </c>
      <c r="C74" s="497">
        <v>0</v>
      </c>
      <c r="D74" s="497">
        <v>0</v>
      </c>
      <c r="E74" s="497">
        <v>0</v>
      </c>
      <c r="F74" s="497">
        <v>0</v>
      </c>
      <c r="G74" s="490">
        <f>G61*$AM55</f>
        <v>0</v>
      </c>
      <c r="H74" s="490">
        <f t="shared" ref="H74:AJ74" si="1">H61*$AM55</f>
        <v>0</v>
      </c>
      <c r="I74" s="490">
        <f t="shared" si="1"/>
        <v>0</v>
      </c>
      <c r="J74" s="490">
        <f t="shared" si="1"/>
        <v>0</v>
      </c>
      <c r="K74" s="490">
        <f t="shared" si="1"/>
        <v>0</v>
      </c>
      <c r="L74" s="490">
        <f t="shared" si="1"/>
        <v>0</v>
      </c>
      <c r="M74" s="490">
        <f t="shared" si="1"/>
        <v>0</v>
      </c>
      <c r="N74" s="490">
        <f t="shared" si="1"/>
        <v>0</v>
      </c>
      <c r="O74" s="490">
        <f t="shared" si="1"/>
        <v>0</v>
      </c>
      <c r="P74" s="490">
        <f t="shared" si="1"/>
        <v>0</v>
      </c>
      <c r="Q74" s="490">
        <f t="shared" si="1"/>
        <v>0</v>
      </c>
      <c r="R74" s="490">
        <f t="shared" si="1"/>
        <v>0</v>
      </c>
      <c r="S74" s="490">
        <f t="shared" si="1"/>
        <v>0</v>
      </c>
      <c r="T74" s="490">
        <f t="shared" si="1"/>
        <v>0</v>
      </c>
      <c r="U74" s="490">
        <f t="shared" si="1"/>
        <v>0</v>
      </c>
      <c r="V74" s="490">
        <f t="shared" si="1"/>
        <v>0</v>
      </c>
      <c r="W74" s="490">
        <f t="shared" si="1"/>
        <v>0</v>
      </c>
      <c r="X74" s="490">
        <f t="shared" si="1"/>
        <v>0</v>
      </c>
      <c r="Y74" s="490">
        <f t="shared" si="1"/>
        <v>0</v>
      </c>
      <c r="Z74" s="490">
        <f t="shared" si="1"/>
        <v>0</v>
      </c>
      <c r="AA74" s="490">
        <f t="shared" si="1"/>
        <v>0</v>
      </c>
      <c r="AB74" s="490">
        <f t="shared" si="1"/>
        <v>0</v>
      </c>
      <c r="AC74" s="490">
        <f t="shared" si="1"/>
        <v>0</v>
      </c>
      <c r="AD74" s="490">
        <f t="shared" si="1"/>
        <v>0</v>
      </c>
      <c r="AE74" s="490">
        <f t="shared" si="1"/>
        <v>0</v>
      </c>
      <c r="AF74" s="490">
        <f t="shared" si="1"/>
        <v>0</v>
      </c>
      <c r="AG74" s="490">
        <f t="shared" si="1"/>
        <v>0</v>
      </c>
      <c r="AH74" s="490">
        <f t="shared" si="1"/>
        <v>0</v>
      </c>
      <c r="AI74" s="490">
        <f t="shared" si="1"/>
        <v>0</v>
      </c>
      <c r="AJ74" s="490">
        <f t="shared" si="1"/>
        <v>0</v>
      </c>
      <c r="AK74" s="491"/>
    </row>
    <row r="75" spans="1:39" s="18" customFormat="1">
      <c r="A75" s="17" t="s">
        <v>51</v>
      </c>
      <c r="B75" s="497">
        <v>0.66200000000000003</v>
      </c>
      <c r="C75" s="497">
        <v>0.753</v>
      </c>
      <c r="D75" s="497">
        <v>0.76100000000000001</v>
      </c>
      <c r="E75" s="497">
        <v>0.69499999999999995</v>
      </c>
      <c r="F75" s="497">
        <v>0.80200000000000005</v>
      </c>
      <c r="G75" s="490">
        <f>G62*$AM60</f>
        <v>0.98536145242873141</v>
      </c>
      <c r="H75" s="490">
        <f t="shared" ref="H75:AJ75" si="2">H62*$AM60</f>
        <v>1.164434402040428</v>
      </c>
      <c r="I75" s="490">
        <f t="shared" si="2"/>
        <v>0.85241637015605187</v>
      </c>
      <c r="J75" s="490">
        <f t="shared" si="2"/>
        <v>0.90528916595302766</v>
      </c>
      <c r="K75" s="490">
        <f t="shared" si="2"/>
        <v>0.90577390025296944</v>
      </c>
      <c r="L75" s="490">
        <f t="shared" si="2"/>
        <v>0.91439267520691203</v>
      </c>
      <c r="M75" s="490">
        <f t="shared" si="2"/>
        <v>0.91770004873210764</v>
      </c>
      <c r="N75" s="490">
        <f t="shared" si="2"/>
        <v>0.9180737459491245</v>
      </c>
      <c r="O75" s="490">
        <f t="shared" si="2"/>
        <v>0.91746648797147223</v>
      </c>
      <c r="P75" s="490">
        <f t="shared" si="2"/>
        <v>0.91553214540961891</v>
      </c>
      <c r="Q75" s="490">
        <f t="shared" si="2"/>
        <v>0.91437735974719825</v>
      </c>
      <c r="R75" s="490">
        <f t="shared" si="2"/>
        <v>0.91339717032551471</v>
      </c>
      <c r="S75" s="490">
        <f t="shared" si="2"/>
        <v>0.91247824274268663</v>
      </c>
      <c r="T75" s="490">
        <f t="shared" si="2"/>
        <v>0.91156467557075838</v>
      </c>
      <c r="U75" s="490">
        <f t="shared" si="2"/>
        <v>0.91048876452586358</v>
      </c>
      <c r="V75" s="490">
        <f t="shared" si="2"/>
        <v>0.90928879825728726</v>
      </c>
      <c r="W75" s="490">
        <f t="shared" si="2"/>
        <v>0.90807198498302555</v>
      </c>
      <c r="X75" s="490">
        <f t="shared" si="2"/>
        <v>0.90620809353585574</v>
      </c>
      <c r="Y75" s="490">
        <f t="shared" si="2"/>
        <v>0.90475159331707322</v>
      </c>
      <c r="Z75" s="490">
        <f t="shared" si="2"/>
        <v>0.90274909695949346</v>
      </c>
      <c r="AA75" s="490">
        <f t="shared" si="2"/>
        <v>0.90078335770522688</v>
      </c>
      <c r="AB75" s="490">
        <f t="shared" si="2"/>
        <v>0.89880077144527493</v>
      </c>
      <c r="AC75" s="490">
        <f t="shared" si="2"/>
        <v>0.89689323093792095</v>
      </c>
      <c r="AD75" s="490">
        <f t="shared" si="2"/>
        <v>0.8952238458291164</v>
      </c>
      <c r="AE75" s="490">
        <f t="shared" si="2"/>
        <v>0.89342963972364442</v>
      </c>
      <c r="AF75" s="490">
        <f t="shared" si="2"/>
        <v>0.89183606614042321</v>
      </c>
      <c r="AG75" s="490">
        <f t="shared" si="2"/>
        <v>0.89040177333822557</v>
      </c>
      <c r="AH75" s="490">
        <f t="shared" si="2"/>
        <v>0.88910838276539494</v>
      </c>
      <c r="AI75" s="490">
        <f t="shared" si="2"/>
        <v>0.88774990148878064</v>
      </c>
      <c r="AJ75" s="490">
        <f t="shared" si="2"/>
        <v>0.88640673567188011</v>
      </c>
      <c r="AK75" s="491"/>
    </row>
    <row r="76" spans="1:39" s="18" customFormat="1">
      <c r="A76" s="17" t="s">
        <v>56</v>
      </c>
      <c r="B76" s="498">
        <v>1.78</v>
      </c>
      <c r="C76" s="498">
        <v>1.792</v>
      </c>
      <c r="D76" s="498">
        <v>1.9159999999999999</v>
      </c>
      <c r="E76" s="498">
        <v>1.708</v>
      </c>
      <c r="F76" s="498">
        <v>1.4039999999999999</v>
      </c>
      <c r="G76" s="490">
        <f>G63*$AM59</f>
        <v>1.7096548859743359</v>
      </c>
      <c r="H76" s="490">
        <f t="shared" ref="H76:AJ76" si="3">H63*$AM59</f>
        <v>1.8019503828968495</v>
      </c>
      <c r="I76" s="490">
        <f t="shared" si="3"/>
        <v>2.0341238009079254</v>
      </c>
      <c r="J76" s="490">
        <f t="shared" si="3"/>
        <v>2.0626170129624564</v>
      </c>
      <c r="K76" s="490">
        <f t="shared" si="3"/>
        <v>2.106655176377739</v>
      </c>
      <c r="L76" s="490">
        <f t="shared" si="3"/>
        <v>3.3411830954495305</v>
      </c>
      <c r="M76" s="490">
        <f t="shared" si="3"/>
        <v>2.9885291507482945</v>
      </c>
      <c r="N76" s="490">
        <f t="shared" si="3"/>
        <v>3.0844396226069315</v>
      </c>
      <c r="O76" s="490">
        <f t="shared" si="3"/>
        <v>3.4517041047126349</v>
      </c>
      <c r="P76" s="490">
        <f t="shared" si="3"/>
        <v>4.4139998420261737</v>
      </c>
      <c r="Q76" s="490">
        <f t="shared" si="3"/>
        <v>5.8961076622277666</v>
      </c>
      <c r="R76" s="490">
        <f t="shared" si="3"/>
        <v>6.0110274227233083</v>
      </c>
      <c r="S76" s="490">
        <f t="shared" si="3"/>
        <v>6.2413747702362166</v>
      </c>
      <c r="T76" s="490">
        <f t="shared" si="3"/>
        <v>6.2801320640696234</v>
      </c>
      <c r="U76" s="490">
        <f t="shared" si="3"/>
        <v>6.3385742136874912</v>
      </c>
      <c r="V76" s="490">
        <f t="shared" si="3"/>
        <v>6.3451105067368587</v>
      </c>
      <c r="W76" s="490">
        <f t="shared" si="3"/>
        <v>6.2914460048236691</v>
      </c>
      <c r="X76" s="490">
        <f t="shared" si="3"/>
        <v>6.3207134549820703</v>
      </c>
      <c r="Y76" s="490">
        <f t="shared" si="3"/>
        <v>6.3435936052351378</v>
      </c>
      <c r="Z76" s="490">
        <f t="shared" si="3"/>
        <v>6.2898682562322232</v>
      </c>
      <c r="AA76" s="490">
        <f t="shared" si="3"/>
        <v>6.3259160456052719</v>
      </c>
      <c r="AB76" s="490">
        <f t="shared" si="3"/>
        <v>6.307224148544508</v>
      </c>
      <c r="AC76" s="490">
        <f t="shared" si="3"/>
        <v>6.3191107097483581</v>
      </c>
      <c r="AD76" s="490">
        <f t="shared" si="3"/>
        <v>6.3631232187149998</v>
      </c>
      <c r="AE76" s="490">
        <f t="shared" si="3"/>
        <v>6.3920186793681006</v>
      </c>
      <c r="AF76" s="490">
        <f t="shared" si="3"/>
        <v>6.4284516143739578</v>
      </c>
      <c r="AG76" s="490">
        <f t="shared" si="3"/>
        <v>6.4592708297719765</v>
      </c>
      <c r="AH76" s="490">
        <f t="shared" si="3"/>
        <v>6.4494435314263798</v>
      </c>
      <c r="AI76" s="490">
        <f t="shared" si="3"/>
        <v>6.4834129815562882</v>
      </c>
      <c r="AJ76" s="490">
        <f t="shared" si="3"/>
        <v>6.512904085882333</v>
      </c>
      <c r="AK76" s="491"/>
    </row>
    <row r="77" spans="1:39" s="18" customFormat="1">
      <c r="A77" s="17" t="s">
        <v>52</v>
      </c>
      <c r="B77" s="497">
        <v>0</v>
      </c>
      <c r="C77" s="497">
        <v>0</v>
      </c>
      <c r="D77" s="497">
        <v>0</v>
      </c>
      <c r="E77" s="497">
        <v>0</v>
      </c>
      <c r="F77" s="497">
        <v>0</v>
      </c>
      <c r="G77" s="490">
        <f>G64*$AM57</f>
        <v>0</v>
      </c>
      <c r="H77" s="490">
        <f t="shared" ref="H77:AJ77" si="4">H64*$AM57</f>
        <v>0</v>
      </c>
      <c r="I77" s="490">
        <f t="shared" si="4"/>
        <v>0</v>
      </c>
      <c r="J77" s="490">
        <f t="shared" si="4"/>
        <v>0</v>
      </c>
      <c r="K77" s="490">
        <f t="shared" si="4"/>
        <v>0</v>
      </c>
      <c r="L77" s="490">
        <f t="shared" si="4"/>
        <v>0</v>
      </c>
      <c r="M77" s="490">
        <f t="shared" si="4"/>
        <v>0</v>
      </c>
      <c r="N77" s="490">
        <f t="shared" si="4"/>
        <v>0</v>
      </c>
      <c r="O77" s="490">
        <f t="shared" si="4"/>
        <v>0</v>
      </c>
      <c r="P77" s="490">
        <f t="shared" si="4"/>
        <v>0</v>
      </c>
      <c r="Q77" s="490">
        <f t="shared" si="4"/>
        <v>0</v>
      </c>
      <c r="R77" s="490">
        <f t="shared" si="4"/>
        <v>0</v>
      </c>
      <c r="S77" s="490">
        <f t="shared" si="4"/>
        <v>0</v>
      </c>
      <c r="T77" s="490">
        <f t="shared" si="4"/>
        <v>0</v>
      </c>
      <c r="U77" s="490">
        <f t="shared" si="4"/>
        <v>0</v>
      </c>
      <c r="V77" s="490">
        <f t="shared" si="4"/>
        <v>0</v>
      </c>
      <c r="W77" s="490">
        <f t="shared" si="4"/>
        <v>0</v>
      </c>
      <c r="X77" s="490">
        <f t="shared" si="4"/>
        <v>0</v>
      </c>
      <c r="Y77" s="490">
        <f t="shared" si="4"/>
        <v>0</v>
      </c>
      <c r="Z77" s="490">
        <f t="shared" si="4"/>
        <v>0</v>
      </c>
      <c r="AA77" s="490">
        <f t="shared" si="4"/>
        <v>0</v>
      </c>
      <c r="AB77" s="490">
        <f t="shared" si="4"/>
        <v>0</v>
      </c>
      <c r="AC77" s="490">
        <f t="shared" si="4"/>
        <v>0</v>
      </c>
      <c r="AD77" s="490">
        <f t="shared" si="4"/>
        <v>0</v>
      </c>
      <c r="AE77" s="490">
        <f t="shared" si="4"/>
        <v>0</v>
      </c>
      <c r="AF77" s="490">
        <f t="shared" si="4"/>
        <v>0</v>
      </c>
      <c r="AG77" s="490">
        <f t="shared" si="4"/>
        <v>0</v>
      </c>
      <c r="AH77" s="490">
        <f t="shared" si="4"/>
        <v>0</v>
      </c>
      <c r="AI77" s="490">
        <f t="shared" si="4"/>
        <v>0</v>
      </c>
      <c r="AJ77" s="490">
        <f t="shared" si="4"/>
        <v>0</v>
      </c>
      <c r="AK77" s="491"/>
    </row>
    <row r="78" spans="1:39" s="18" customFormat="1">
      <c r="A78" s="17" t="s">
        <v>53</v>
      </c>
      <c r="B78" s="497">
        <v>0</v>
      </c>
      <c r="C78" s="497">
        <v>0</v>
      </c>
      <c r="D78" s="497">
        <v>0</v>
      </c>
      <c r="E78" s="497">
        <v>0</v>
      </c>
      <c r="F78" s="497">
        <v>0</v>
      </c>
      <c r="G78" s="490">
        <f>G65*$AM58</f>
        <v>0</v>
      </c>
      <c r="H78" s="490">
        <f t="shared" ref="H78:AJ78" si="5">H65*$AM58</f>
        <v>0</v>
      </c>
      <c r="I78" s="490">
        <f t="shared" si="5"/>
        <v>0</v>
      </c>
      <c r="J78" s="490">
        <f t="shared" si="5"/>
        <v>0</v>
      </c>
      <c r="K78" s="490">
        <f t="shared" si="5"/>
        <v>0</v>
      </c>
      <c r="L78" s="490">
        <f t="shared" si="5"/>
        <v>0</v>
      </c>
      <c r="M78" s="490">
        <f t="shared" si="5"/>
        <v>0</v>
      </c>
      <c r="N78" s="490">
        <f t="shared" si="5"/>
        <v>0</v>
      </c>
      <c r="O78" s="490">
        <f t="shared" si="5"/>
        <v>0</v>
      </c>
      <c r="P78" s="490">
        <f t="shared" si="5"/>
        <v>0</v>
      </c>
      <c r="Q78" s="490">
        <f t="shared" si="5"/>
        <v>0</v>
      </c>
      <c r="R78" s="490">
        <f t="shared" si="5"/>
        <v>0</v>
      </c>
      <c r="S78" s="490">
        <f t="shared" si="5"/>
        <v>0</v>
      </c>
      <c r="T78" s="490">
        <f t="shared" si="5"/>
        <v>0</v>
      </c>
      <c r="U78" s="490">
        <f t="shared" si="5"/>
        <v>0</v>
      </c>
      <c r="V78" s="490">
        <f t="shared" si="5"/>
        <v>0</v>
      </c>
      <c r="W78" s="490">
        <f t="shared" si="5"/>
        <v>0</v>
      </c>
      <c r="X78" s="490">
        <f t="shared" si="5"/>
        <v>0</v>
      </c>
      <c r="Y78" s="490">
        <f t="shared" si="5"/>
        <v>0</v>
      </c>
      <c r="Z78" s="490">
        <f t="shared" si="5"/>
        <v>0</v>
      </c>
      <c r="AA78" s="490">
        <f t="shared" si="5"/>
        <v>0</v>
      </c>
      <c r="AB78" s="490">
        <f t="shared" si="5"/>
        <v>0</v>
      </c>
      <c r="AC78" s="490">
        <f t="shared" si="5"/>
        <v>0</v>
      </c>
      <c r="AD78" s="490">
        <f t="shared" si="5"/>
        <v>0</v>
      </c>
      <c r="AE78" s="490">
        <f t="shared" si="5"/>
        <v>0</v>
      </c>
      <c r="AF78" s="490">
        <f t="shared" si="5"/>
        <v>0</v>
      </c>
      <c r="AG78" s="490">
        <f t="shared" si="5"/>
        <v>0</v>
      </c>
      <c r="AH78" s="490">
        <f t="shared" si="5"/>
        <v>0</v>
      </c>
      <c r="AI78" s="490">
        <f t="shared" si="5"/>
        <v>0</v>
      </c>
      <c r="AJ78" s="490">
        <f t="shared" si="5"/>
        <v>0</v>
      </c>
      <c r="AK78" s="491"/>
    </row>
    <row r="79" spans="1:39" s="18" customFormat="1">
      <c r="A79" s="17" t="s">
        <v>54</v>
      </c>
      <c r="B79" s="499">
        <v>3.81</v>
      </c>
      <c r="C79" s="499">
        <v>3.8140000000000001</v>
      </c>
      <c r="D79" s="499">
        <v>3.7090000000000001</v>
      </c>
      <c r="E79" s="499">
        <v>3.8959999999999999</v>
      </c>
      <c r="F79" s="499">
        <v>3.72</v>
      </c>
      <c r="G79" s="492">
        <f>G66*$AM62</f>
        <v>3.26449486167109</v>
      </c>
      <c r="H79" s="492">
        <f t="shared" ref="H79:AJ79" si="6">H66*$AM62</f>
        <v>3.4065563007301862</v>
      </c>
      <c r="I79" s="492">
        <f t="shared" si="6"/>
        <v>4.2134593703400034</v>
      </c>
      <c r="J79" s="492">
        <f t="shared" si="6"/>
        <v>4.3723772015580407</v>
      </c>
      <c r="K79" s="492">
        <f t="shared" si="6"/>
        <v>5.38953086785639</v>
      </c>
      <c r="L79" s="492">
        <f t="shared" si="6"/>
        <v>7.0078490455373235</v>
      </c>
      <c r="M79" s="492">
        <f t="shared" si="6"/>
        <v>6.8014316139061606</v>
      </c>
      <c r="N79" s="492">
        <f t="shared" si="6"/>
        <v>6.8875652564726613</v>
      </c>
      <c r="O79" s="492">
        <f t="shared" si="6"/>
        <v>7.211477180479676</v>
      </c>
      <c r="P79" s="492">
        <f t="shared" si="6"/>
        <v>8.0569249819092708</v>
      </c>
      <c r="Q79" s="492">
        <f t="shared" si="6"/>
        <v>9.3582540787086046</v>
      </c>
      <c r="R79" s="492">
        <f t="shared" si="6"/>
        <v>9.4666147946524273</v>
      </c>
      <c r="S79" s="492">
        <f t="shared" si="6"/>
        <v>9.675956206401521</v>
      </c>
      <c r="T79" s="492">
        <f t="shared" si="6"/>
        <v>9.7192964149438819</v>
      </c>
      <c r="U79" s="492">
        <f t="shared" si="6"/>
        <v>9.7939891453223655</v>
      </c>
      <c r="V79" s="492">
        <f t="shared" si="6"/>
        <v>9.8388079998701503</v>
      </c>
      <c r="W79" s="492">
        <f t="shared" si="6"/>
        <v>9.8155588831575589</v>
      </c>
      <c r="X79" s="492">
        <f t="shared" si="6"/>
        <v>9.8816990722011155</v>
      </c>
      <c r="Y79" s="492">
        <f t="shared" si="6"/>
        <v>9.9764573361466997</v>
      </c>
      <c r="Z79" s="492">
        <f t="shared" si="6"/>
        <v>10.025834750937269</v>
      </c>
      <c r="AA79" s="492">
        <f t="shared" si="6"/>
        <v>10.186943700629067</v>
      </c>
      <c r="AB79" s="492">
        <f t="shared" si="6"/>
        <v>10.257598512677337</v>
      </c>
      <c r="AC79" s="492">
        <f t="shared" si="6"/>
        <v>10.31570335624065</v>
      </c>
      <c r="AD79" s="492">
        <f t="shared" si="6"/>
        <v>10.478108310869807</v>
      </c>
      <c r="AE79" s="492">
        <f t="shared" si="6"/>
        <v>10.647588596685925</v>
      </c>
      <c r="AF79" s="492">
        <f t="shared" si="6"/>
        <v>10.84819597471799</v>
      </c>
      <c r="AG79" s="492">
        <f t="shared" si="6"/>
        <v>11.229113736993549</v>
      </c>
      <c r="AH79" s="492">
        <f t="shared" si="6"/>
        <v>11.858122970453804</v>
      </c>
      <c r="AI79" s="492">
        <f t="shared" si="6"/>
        <v>12.449138841356355</v>
      </c>
      <c r="AJ79" s="492">
        <f t="shared" si="6"/>
        <v>13.000448371759393</v>
      </c>
      <c r="AK79" s="493"/>
    </row>
    <row r="80" spans="1:39" s="256" customFormat="1">
      <c r="A80" s="255" t="s">
        <v>57</v>
      </c>
      <c r="B80" s="480">
        <f>B79*1000</f>
        <v>3810</v>
      </c>
      <c r="C80" s="480">
        <f t="shared" ref="C80:AJ80" si="7">C79*1000</f>
        <v>3814</v>
      </c>
      <c r="D80" s="480">
        <f t="shared" si="7"/>
        <v>3709</v>
      </c>
      <c r="E80" s="480">
        <f t="shared" si="7"/>
        <v>3896</v>
      </c>
      <c r="F80" s="480">
        <f t="shared" si="7"/>
        <v>3720</v>
      </c>
      <c r="G80" s="277">
        <f t="shared" si="7"/>
        <v>3264.4948616710899</v>
      </c>
      <c r="H80" s="277">
        <f t="shared" si="7"/>
        <v>3406.5563007301862</v>
      </c>
      <c r="I80" s="277">
        <f t="shared" si="7"/>
        <v>4213.4593703400033</v>
      </c>
      <c r="J80" s="277">
        <f t="shared" si="7"/>
        <v>4372.3772015580407</v>
      </c>
      <c r="K80" s="277">
        <f t="shared" si="7"/>
        <v>5389.5308678563897</v>
      </c>
      <c r="L80" s="277">
        <f t="shared" si="7"/>
        <v>7007.849045537323</v>
      </c>
      <c r="M80" s="277">
        <f t="shared" si="7"/>
        <v>6801.4316139061602</v>
      </c>
      <c r="N80" s="277">
        <f t="shared" si="7"/>
        <v>6887.5652564726615</v>
      </c>
      <c r="O80" s="277">
        <f t="shared" si="7"/>
        <v>7211.4771804796765</v>
      </c>
      <c r="P80" s="277">
        <f t="shared" si="7"/>
        <v>8056.9249819092711</v>
      </c>
      <c r="Q80" s="277">
        <f t="shared" si="7"/>
        <v>9358.2540787086054</v>
      </c>
      <c r="R80" s="277">
        <f t="shared" si="7"/>
        <v>9466.614794652427</v>
      </c>
      <c r="S80" s="277">
        <f t="shared" si="7"/>
        <v>9675.9562064015208</v>
      </c>
      <c r="T80" s="277">
        <f t="shared" si="7"/>
        <v>9719.2964149438812</v>
      </c>
      <c r="U80" s="277">
        <f t="shared" si="7"/>
        <v>9793.9891453223663</v>
      </c>
      <c r="V80" s="277">
        <f t="shared" si="7"/>
        <v>9838.8079998701505</v>
      </c>
      <c r="W80" s="277">
        <f t="shared" si="7"/>
        <v>9815.5588831575587</v>
      </c>
      <c r="X80" s="277">
        <f t="shared" si="7"/>
        <v>9881.699072201116</v>
      </c>
      <c r="Y80" s="277">
        <f t="shared" si="7"/>
        <v>9976.4573361466992</v>
      </c>
      <c r="Z80" s="277">
        <f t="shared" si="7"/>
        <v>10025.834750937269</v>
      </c>
      <c r="AA80" s="277">
        <f t="shared" si="7"/>
        <v>10186.943700629066</v>
      </c>
      <c r="AB80" s="277">
        <f t="shared" si="7"/>
        <v>10257.598512677338</v>
      </c>
      <c r="AC80" s="277">
        <f t="shared" si="7"/>
        <v>10315.70335624065</v>
      </c>
      <c r="AD80" s="277">
        <f t="shared" si="7"/>
        <v>10478.108310869808</v>
      </c>
      <c r="AE80" s="277">
        <f t="shared" si="7"/>
        <v>10647.588596685924</v>
      </c>
      <c r="AF80" s="277">
        <f t="shared" si="7"/>
        <v>10848.19597471799</v>
      </c>
      <c r="AG80" s="277">
        <f t="shared" si="7"/>
        <v>11229.11373699355</v>
      </c>
      <c r="AH80" s="277">
        <f t="shared" si="7"/>
        <v>11858.122970453804</v>
      </c>
      <c r="AI80" s="277">
        <f t="shared" si="7"/>
        <v>12449.138841356355</v>
      </c>
      <c r="AJ80" s="277">
        <f t="shared" si="7"/>
        <v>13000.448371759394</v>
      </c>
      <c r="AK80" s="326"/>
    </row>
    <row r="81" spans="1:37" s="257" customFormat="1">
      <c r="A81" s="258" t="s">
        <v>339</v>
      </c>
      <c r="B81" s="261">
        <f t="shared" ref="B81:Q82" si="8">B74/SUM(B$74:B$78)</f>
        <v>0</v>
      </c>
      <c r="C81" s="261">
        <f>C74/SUM(C$74:C$78)</f>
        <v>0</v>
      </c>
      <c r="D81" s="261">
        <f t="shared" si="8"/>
        <v>0</v>
      </c>
      <c r="E81" s="261">
        <f t="shared" si="8"/>
        <v>0</v>
      </c>
      <c r="F81" s="261">
        <f t="shared" si="8"/>
        <v>0</v>
      </c>
      <c r="G81" s="261">
        <f t="shared" si="8"/>
        <v>0</v>
      </c>
      <c r="H81" s="261">
        <f t="shared" si="8"/>
        <v>0</v>
      </c>
      <c r="I81" s="261">
        <f t="shared" si="8"/>
        <v>0</v>
      </c>
      <c r="J81" s="261">
        <f t="shared" si="8"/>
        <v>0</v>
      </c>
      <c r="K81" s="261">
        <f t="shared" si="8"/>
        <v>0</v>
      </c>
      <c r="L81" s="261">
        <f t="shared" si="8"/>
        <v>0</v>
      </c>
      <c r="M81" s="261">
        <f t="shared" si="8"/>
        <v>0</v>
      </c>
      <c r="N81" s="261">
        <f t="shared" si="8"/>
        <v>0</v>
      </c>
      <c r="O81" s="261">
        <f t="shared" si="8"/>
        <v>0</v>
      </c>
      <c r="P81" s="261">
        <f t="shared" si="8"/>
        <v>0</v>
      </c>
      <c r="Q81" s="261">
        <f t="shared" si="8"/>
        <v>0</v>
      </c>
      <c r="R81" s="261">
        <f t="shared" ref="R81:AJ82" si="9">R74/SUM(R$74:R$78)</f>
        <v>0</v>
      </c>
      <c r="S81" s="261">
        <f t="shared" si="9"/>
        <v>0</v>
      </c>
      <c r="T81" s="261">
        <f t="shared" si="9"/>
        <v>0</v>
      </c>
      <c r="U81" s="261">
        <f t="shared" si="9"/>
        <v>0</v>
      </c>
      <c r="V81" s="261">
        <f t="shared" si="9"/>
        <v>0</v>
      </c>
      <c r="W81" s="261">
        <f t="shared" si="9"/>
        <v>0</v>
      </c>
      <c r="X81" s="261">
        <f t="shared" si="9"/>
        <v>0</v>
      </c>
      <c r="Y81" s="261">
        <f t="shared" si="9"/>
        <v>0</v>
      </c>
      <c r="Z81" s="261">
        <f t="shared" si="9"/>
        <v>0</v>
      </c>
      <c r="AA81" s="261">
        <f t="shared" si="9"/>
        <v>0</v>
      </c>
      <c r="AB81" s="261">
        <f t="shared" si="9"/>
        <v>0</v>
      </c>
      <c r="AC81" s="261">
        <f t="shared" si="9"/>
        <v>0</v>
      </c>
      <c r="AD81" s="261">
        <f t="shared" si="9"/>
        <v>0</v>
      </c>
      <c r="AE81" s="261">
        <f t="shared" si="9"/>
        <v>0</v>
      </c>
      <c r="AF81" s="261">
        <f t="shared" si="9"/>
        <v>0</v>
      </c>
      <c r="AG81" s="261">
        <f t="shared" si="9"/>
        <v>0</v>
      </c>
      <c r="AH81" s="261">
        <f t="shared" si="9"/>
        <v>0</v>
      </c>
      <c r="AI81" s="261">
        <f t="shared" si="9"/>
        <v>0</v>
      </c>
      <c r="AJ81" s="261">
        <f t="shared" si="9"/>
        <v>0</v>
      </c>
      <c r="AK81" s="327"/>
    </row>
    <row r="82" spans="1:37" s="257" customFormat="1">
      <c r="A82" s="258" t="s">
        <v>340</v>
      </c>
      <c r="B82" s="261">
        <f t="shared" si="8"/>
        <v>0.27108927108927111</v>
      </c>
      <c r="C82" s="261">
        <f t="shared" ref="C82:AA82" si="10">C75/SUM(C$74:C$78)</f>
        <v>0.29587426326129668</v>
      </c>
      <c r="D82" s="261">
        <f t="shared" si="10"/>
        <v>0.28427344041837876</v>
      </c>
      <c r="E82" s="261">
        <f t="shared" si="10"/>
        <v>0.28922180607573866</v>
      </c>
      <c r="F82" s="261">
        <f t="shared" si="10"/>
        <v>0.3635539437896646</v>
      </c>
      <c r="G82" s="261">
        <f t="shared" si="10"/>
        <v>0.36562355425741411</v>
      </c>
      <c r="H82" s="261">
        <f t="shared" si="10"/>
        <v>0.39254327623078383</v>
      </c>
      <c r="I82" s="261">
        <f t="shared" si="10"/>
        <v>0.2953072951144316</v>
      </c>
      <c r="J82" s="261">
        <f t="shared" si="10"/>
        <v>0.30502620749414439</v>
      </c>
      <c r="K82" s="261">
        <f t="shared" si="10"/>
        <v>0.30067891300068195</v>
      </c>
      <c r="L82" s="261">
        <f t="shared" si="10"/>
        <v>0.21486932074196455</v>
      </c>
      <c r="M82" s="261">
        <f t="shared" si="10"/>
        <v>0.23493246347505109</v>
      </c>
      <c r="N82" s="261">
        <f t="shared" si="10"/>
        <v>0.22937431094210889</v>
      </c>
      <c r="O82" s="261">
        <f t="shared" si="10"/>
        <v>0.20998641927777104</v>
      </c>
      <c r="P82" s="262">
        <f t="shared" si="10"/>
        <v>0.17178471722619504</v>
      </c>
      <c r="Q82" s="261">
        <f t="shared" si="10"/>
        <v>0.13426024090748812</v>
      </c>
      <c r="R82" s="261">
        <f t="shared" si="10"/>
        <v>0.13190946887376617</v>
      </c>
      <c r="S82" s="261">
        <f t="shared" si="10"/>
        <v>0.12755059980785455</v>
      </c>
      <c r="T82" s="261">
        <f t="shared" si="10"/>
        <v>0.12675237966393182</v>
      </c>
      <c r="U82" s="261">
        <f t="shared" si="10"/>
        <v>0.12560089038573477</v>
      </c>
      <c r="V82" s="261">
        <f t="shared" si="10"/>
        <v>0.12534308631609314</v>
      </c>
      <c r="W82" s="261">
        <f t="shared" si="10"/>
        <v>0.12612955287683184</v>
      </c>
      <c r="X82" s="261">
        <f t="shared" si="10"/>
        <v>0.12539337634316758</v>
      </c>
      <c r="Y82" s="261">
        <f t="shared" si="10"/>
        <v>0.12482181360481961</v>
      </c>
      <c r="Z82" s="261">
        <f t="shared" si="10"/>
        <v>0.12551051343762912</v>
      </c>
      <c r="AA82" s="261">
        <f t="shared" si="10"/>
        <v>0.12464657894758768</v>
      </c>
      <c r="AB82" s="261">
        <f t="shared" si="9"/>
        <v>0.1247290678876183</v>
      </c>
      <c r="AC82" s="261">
        <f t="shared" si="9"/>
        <v>0.12429223131114613</v>
      </c>
      <c r="AD82" s="261">
        <f t="shared" si="9"/>
        <v>0.12333715071330001</v>
      </c>
      <c r="AE82" s="261">
        <f t="shared" si="9"/>
        <v>0.1226320743203111</v>
      </c>
      <c r="AF82" s="261">
        <f t="shared" si="9"/>
        <v>0.12183074013803727</v>
      </c>
      <c r="AG82" s="261">
        <f t="shared" si="9"/>
        <v>0.12114849482702526</v>
      </c>
      <c r="AH82" s="261">
        <f t="shared" si="9"/>
        <v>0.12115583471529018</v>
      </c>
      <c r="AI82" s="261">
        <f t="shared" si="9"/>
        <v>0.12043552904396627</v>
      </c>
      <c r="AJ82" s="261">
        <f t="shared" si="9"/>
        <v>0.11979585086353918</v>
      </c>
      <c r="AK82" s="327"/>
    </row>
    <row r="83" spans="1:37" s="257" customFormat="1">
      <c r="A83" s="258" t="s">
        <v>336</v>
      </c>
      <c r="B83" s="261">
        <f>B76/SUM(B$74:B$78)</f>
        <v>0.72891072891072883</v>
      </c>
      <c r="C83" s="261">
        <f t="shared" ref="C83:AJ83" si="11">C76/SUM(C$74:C$78)</f>
        <v>0.70412573673870338</v>
      </c>
      <c r="D83" s="261">
        <f t="shared" si="11"/>
        <v>0.71572655958162112</v>
      </c>
      <c r="E83" s="261">
        <f t="shared" si="11"/>
        <v>0.71077819392426134</v>
      </c>
      <c r="F83" s="261">
        <f t="shared" si="11"/>
        <v>0.63644605621033545</v>
      </c>
      <c r="G83" s="261">
        <f t="shared" si="11"/>
        <v>0.63437644574258589</v>
      </c>
      <c r="H83" s="261">
        <f t="shared" si="11"/>
        <v>0.60745672376921611</v>
      </c>
      <c r="I83" s="261">
        <f t="shared" si="11"/>
        <v>0.70469270488556834</v>
      </c>
      <c r="J83" s="261">
        <f t="shared" si="11"/>
        <v>0.69497379250585567</v>
      </c>
      <c r="K83" s="261">
        <f t="shared" si="11"/>
        <v>0.69932108699931805</v>
      </c>
      <c r="L83" s="261">
        <f t="shared" si="11"/>
        <v>0.78513067925803559</v>
      </c>
      <c r="M83" s="261">
        <f t="shared" si="11"/>
        <v>0.76506753652494885</v>
      </c>
      <c r="N83" s="261">
        <f t="shared" si="11"/>
        <v>0.77062568905789108</v>
      </c>
      <c r="O83" s="261">
        <f t="shared" si="11"/>
        <v>0.79001358072222905</v>
      </c>
      <c r="P83" s="262">
        <f t="shared" si="11"/>
        <v>0.82821528277380485</v>
      </c>
      <c r="Q83" s="261">
        <f t="shared" si="11"/>
        <v>0.86573975909251188</v>
      </c>
      <c r="R83" s="261">
        <f t="shared" si="11"/>
        <v>0.86809053112623391</v>
      </c>
      <c r="S83" s="261">
        <f t="shared" si="11"/>
        <v>0.87244940019214545</v>
      </c>
      <c r="T83" s="261">
        <f t="shared" si="11"/>
        <v>0.87324762033606818</v>
      </c>
      <c r="U83" s="261">
        <f t="shared" si="11"/>
        <v>0.87439910961426515</v>
      </c>
      <c r="V83" s="261">
        <f t="shared" si="11"/>
        <v>0.87465691368390686</v>
      </c>
      <c r="W83" s="261">
        <f t="shared" si="11"/>
        <v>0.87387044712316819</v>
      </c>
      <c r="X83" s="261">
        <f t="shared" si="11"/>
        <v>0.87460662365683239</v>
      </c>
      <c r="Y83" s="261">
        <f t="shared" si="11"/>
        <v>0.87517818639518041</v>
      </c>
      <c r="Z83" s="261">
        <f t="shared" si="11"/>
        <v>0.8744894865623708</v>
      </c>
      <c r="AA83" s="261">
        <f t="shared" si="11"/>
        <v>0.87535342105241232</v>
      </c>
      <c r="AB83" s="261">
        <f t="shared" si="11"/>
        <v>0.87527093211238161</v>
      </c>
      <c r="AC83" s="261">
        <f t="shared" si="11"/>
        <v>0.87570776868885392</v>
      </c>
      <c r="AD83" s="261">
        <f t="shared" si="11"/>
        <v>0.87666284928669991</v>
      </c>
      <c r="AE83" s="261">
        <f t="shared" si="11"/>
        <v>0.87736792567968891</v>
      </c>
      <c r="AF83" s="261">
        <f t="shared" si="11"/>
        <v>0.8781692598619627</v>
      </c>
      <c r="AG83" s="261">
        <f t="shared" si="11"/>
        <v>0.87885150517297483</v>
      </c>
      <c r="AH83" s="261">
        <f t="shared" si="11"/>
        <v>0.87884416528470988</v>
      </c>
      <c r="AI83" s="261">
        <f t="shared" si="11"/>
        <v>0.87956447095603374</v>
      </c>
      <c r="AJ83" s="261">
        <f t="shared" si="11"/>
        <v>0.88020414913646083</v>
      </c>
      <c r="AK83" s="327"/>
    </row>
    <row r="84" spans="1:37" s="257" customFormat="1">
      <c r="A84" s="258" t="s">
        <v>338</v>
      </c>
      <c r="B84" s="261">
        <f>B77/SUM(B$74:B$78)</f>
        <v>0</v>
      </c>
      <c r="C84" s="261">
        <f t="shared" ref="C84:AJ84" si="12">C77/SUM(C$74:C$78)</f>
        <v>0</v>
      </c>
      <c r="D84" s="261">
        <f t="shared" si="12"/>
        <v>0</v>
      </c>
      <c r="E84" s="261">
        <f t="shared" si="12"/>
        <v>0</v>
      </c>
      <c r="F84" s="261">
        <f t="shared" si="12"/>
        <v>0</v>
      </c>
      <c r="G84" s="261">
        <f t="shared" si="12"/>
        <v>0</v>
      </c>
      <c r="H84" s="261">
        <f t="shared" si="12"/>
        <v>0</v>
      </c>
      <c r="I84" s="261">
        <f t="shared" si="12"/>
        <v>0</v>
      </c>
      <c r="J84" s="261">
        <f t="shared" si="12"/>
        <v>0</v>
      </c>
      <c r="K84" s="261">
        <f t="shared" si="12"/>
        <v>0</v>
      </c>
      <c r="L84" s="261">
        <f t="shared" si="12"/>
        <v>0</v>
      </c>
      <c r="M84" s="261">
        <f t="shared" si="12"/>
        <v>0</v>
      </c>
      <c r="N84" s="261">
        <f t="shared" si="12"/>
        <v>0</v>
      </c>
      <c r="O84" s="261">
        <f t="shared" si="12"/>
        <v>0</v>
      </c>
      <c r="P84" s="262">
        <f t="shared" si="12"/>
        <v>0</v>
      </c>
      <c r="Q84" s="261">
        <f t="shared" si="12"/>
        <v>0</v>
      </c>
      <c r="R84" s="261">
        <f t="shared" si="12"/>
        <v>0</v>
      </c>
      <c r="S84" s="261">
        <f t="shared" si="12"/>
        <v>0</v>
      </c>
      <c r="T84" s="261">
        <f t="shared" si="12"/>
        <v>0</v>
      </c>
      <c r="U84" s="261">
        <f t="shared" si="12"/>
        <v>0</v>
      </c>
      <c r="V84" s="261">
        <f t="shared" si="12"/>
        <v>0</v>
      </c>
      <c r="W84" s="261">
        <f t="shared" si="12"/>
        <v>0</v>
      </c>
      <c r="X84" s="261">
        <f t="shared" si="12"/>
        <v>0</v>
      </c>
      <c r="Y84" s="261">
        <f t="shared" si="12"/>
        <v>0</v>
      </c>
      <c r="Z84" s="261">
        <f t="shared" si="12"/>
        <v>0</v>
      </c>
      <c r="AA84" s="261">
        <f t="shared" si="12"/>
        <v>0</v>
      </c>
      <c r="AB84" s="261">
        <f t="shared" si="12"/>
        <v>0</v>
      </c>
      <c r="AC84" s="261">
        <f t="shared" si="12"/>
        <v>0</v>
      </c>
      <c r="AD84" s="261">
        <f t="shared" si="12"/>
        <v>0</v>
      </c>
      <c r="AE84" s="261">
        <f t="shared" si="12"/>
        <v>0</v>
      </c>
      <c r="AF84" s="261">
        <f t="shared" si="12"/>
        <v>0</v>
      </c>
      <c r="AG84" s="261">
        <f t="shared" si="12"/>
        <v>0</v>
      </c>
      <c r="AH84" s="261">
        <f t="shared" si="12"/>
        <v>0</v>
      </c>
      <c r="AI84" s="261">
        <f t="shared" si="12"/>
        <v>0</v>
      </c>
      <c r="AJ84" s="261">
        <f t="shared" si="12"/>
        <v>0</v>
      </c>
      <c r="AK84" s="327"/>
    </row>
    <row r="85" spans="1:37" s="257" customFormat="1">
      <c r="A85" s="258" t="s">
        <v>337</v>
      </c>
      <c r="B85" s="261">
        <f>B78/SUM(B$74:B$78)</f>
        <v>0</v>
      </c>
      <c r="C85" s="261">
        <f t="shared" ref="C85:AJ85" si="13">C78/SUM(C$74:C$78)</f>
        <v>0</v>
      </c>
      <c r="D85" s="261">
        <f t="shared" si="13"/>
        <v>0</v>
      </c>
      <c r="E85" s="261">
        <f t="shared" si="13"/>
        <v>0</v>
      </c>
      <c r="F85" s="261">
        <f t="shared" si="13"/>
        <v>0</v>
      </c>
      <c r="G85" s="261">
        <f t="shared" si="13"/>
        <v>0</v>
      </c>
      <c r="H85" s="261">
        <f t="shared" si="13"/>
        <v>0</v>
      </c>
      <c r="I85" s="261">
        <f t="shared" si="13"/>
        <v>0</v>
      </c>
      <c r="J85" s="261">
        <f t="shared" si="13"/>
        <v>0</v>
      </c>
      <c r="K85" s="261">
        <f t="shared" si="13"/>
        <v>0</v>
      </c>
      <c r="L85" s="261">
        <f t="shared" si="13"/>
        <v>0</v>
      </c>
      <c r="M85" s="261">
        <f t="shared" si="13"/>
        <v>0</v>
      </c>
      <c r="N85" s="261">
        <f t="shared" si="13"/>
        <v>0</v>
      </c>
      <c r="O85" s="261">
        <f t="shared" si="13"/>
        <v>0</v>
      </c>
      <c r="P85" s="262">
        <f t="shared" si="13"/>
        <v>0</v>
      </c>
      <c r="Q85" s="261">
        <f t="shared" si="13"/>
        <v>0</v>
      </c>
      <c r="R85" s="261">
        <f t="shared" si="13"/>
        <v>0</v>
      </c>
      <c r="S85" s="261">
        <f t="shared" si="13"/>
        <v>0</v>
      </c>
      <c r="T85" s="261">
        <f t="shared" si="13"/>
        <v>0</v>
      </c>
      <c r="U85" s="261">
        <f t="shared" si="13"/>
        <v>0</v>
      </c>
      <c r="V85" s="261">
        <f t="shared" si="13"/>
        <v>0</v>
      </c>
      <c r="W85" s="261">
        <f t="shared" si="13"/>
        <v>0</v>
      </c>
      <c r="X85" s="261">
        <f t="shared" si="13"/>
        <v>0</v>
      </c>
      <c r="Y85" s="261">
        <f t="shared" si="13"/>
        <v>0</v>
      </c>
      <c r="Z85" s="261">
        <f t="shared" si="13"/>
        <v>0</v>
      </c>
      <c r="AA85" s="261">
        <f t="shared" si="13"/>
        <v>0</v>
      </c>
      <c r="AB85" s="261">
        <f t="shared" si="13"/>
        <v>0</v>
      </c>
      <c r="AC85" s="261">
        <f t="shared" si="13"/>
        <v>0</v>
      </c>
      <c r="AD85" s="261">
        <f t="shared" si="13"/>
        <v>0</v>
      </c>
      <c r="AE85" s="261">
        <f t="shared" si="13"/>
        <v>0</v>
      </c>
      <c r="AF85" s="261">
        <f t="shared" si="13"/>
        <v>0</v>
      </c>
      <c r="AG85" s="261">
        <f t="shared" si="13"/>
        <v>0</v>
      </c>
      <c r="AH85" s="261">
        <f t="shared" si="13"/>
        <v>0</v>
      </c>
      <c r="AI85" s="261">
        <f t="shared" si="13"/>
        <v>0</v>
      </c>
      <c r="AJ85" s="261">
        <f t="shared" si="13"/>
        <v>0</v>
      </c>
      <c r="AK85" s="327"/>
    </row>
    <row r="86" spans="1:37" s="257" customFormat="1">
      <c r="A86" s="257" t="s">
        <v>341</v>
      </c>
      <c r="B86" s="261">
        <f>SUM(B81:B85)</f>
        <v>1</v>
      </c>
      <c r="C86" s="261">
        <f t="shared" ref="C86:AJ86" si="14">SUM(C81:C85)</f>
        <v>1</v>
      </c>
      <c r="D86" s="261">
        <f t="shared" si="14"/>
        <v>0.99999999999999989</v>
      </c>
      <c r="E86" s="261">
        <f t="shared" si="14"/>
        <v>1</v>
      </c>
      <c r="F86" s="261">
        <f t="shared" si="14"/>
        <v>1</v>
      </c>
      <c r="G86" s="261">
        <f t="shared" si="14"/>
        <v>1</v>
      </c>
      <c r="H86" s="261">
        <f t="shared" si="14"/>
        <v>1</v>
      </c>
      <c r="I86" s="261">
        <f t="shared" si="14"/>
        <v>1</v>
      </c>
      <c r="J86" s="261">
        <f t="shared" si="14"/>
        <v>1</v>
      </c>
      <c r="K86" s="261">
        <f t="shared" si="14"/>
        <v>1</v>
      </c>
      <c r="L86" s="261">
        <f t="shared" si="14"/>
        <v>1.0000000000000002</v>
      </c>
      <c r="M86" s="261">
        <f t="shared" si="14"/>
        <v>1</v>
      </c>
      <c r="N86" s="261">
        <f t="shared" si="14"/>
        <v>1</v>
      </c>
      <c r="O86" s="261">
        <f t="shared" si="14"/>
        <v>1</v>
      </c>
      <c r="P86" s="261">
        <f t="shared" si="14"/>
        <v>0.99999999999999989</v>
      </c>
      <c r="Q86" s="261">
        <f t="shared" si="14"/>
        <v>1</v>
      </c>
      <c r="R86" s="261">
        <f t="shared" si="14"/>
        <v>1</v>
      </c>
      <c r="S86" s="261">
        <f t="shared" si="14"/>
        <v>1</v>
      </c>
      <c r="T86" s="261">
        <f t="shared" si="14"/>
        <v>1</v>
      </c>
      <c r="U86" s="261">
        <f t="shared" si="14"/>
        <v>0.99999999999999989</v>
      </c>
      <c r="V86" s="261">
        <f t="shared" si="14"/>
        <v>1</v>
      </c>
      <c r="W86" s="261">
        <f t="shared" si="14"/>
        <v>1</v>
      </c>
      <c r="X86" s="261">
        <f t="shared" si="14"/>
        <v>1</v>
      </c>
      <c r="Y86" s="261">
        <f t="shared" si="14"/>
        <v>1</v>
      </c>
      <c r="Z86" s="261">
        <f t="shared" si="14"/>
        <v>0.99999999999999989</v>
      </c>
      <c r="AA86" s="261">
        <f t="shared" si="14"/>
        <v>1</v>
      </c>
      <c r="AB86" s="261">
        <f t="shared" si="14"/>
        <v>0.99999999999999989</v>
      </c>
      <c r="AC86" s="261">
        <f t="shared" si="14"/>
        <v>1</v>
      </c>
      <c r="AD86" s="261">
        <f t="shared" si="14"/>
        <v>0.99999999999999989</v>
      </c>
      <c r="AE86" s="261">
        <f t="shared" si="14"/>
        <v>1</v>
      </c>
      <c r="AF86" s="261">
        <f t="shared" si="14"/>
        <v>1</v>
      </c>
      <c r="AG86" s="261">
        <f t="shared" si="14"/>
        <v>1</v>
      </c>
      <c r="AH86" s="261">
        <f t="shared" si="14"/>
        <v>1</v>
      </c>
      <c r="AI86" s="261">
        <f t="shared" si="14"/>
        <v>1</v>
      </c>
      <c r="AJ86" s="261">
        <f t="shared" si="14"/>
        <v>1</v>
      </c>
      <c r="AK86" s="327"/>
    </row>
    <row r="87" spans="1:37">
      <c r="A87" s="562" t="s">
        <v>632</v>
      </c>
      <c r="B87" s="562"/>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row>
    <row r="88" spans="1:37">
      <c r="A88" s="561" t="s">
        <v>665</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row>
    <row r="89" spans="1:37">
      <c r="A89" s="561" t="s">
        <v>666</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row>
    <row r="90" spans="1:37">
      <c r="A90" s="561" t="s">
        <v>667</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row>
    <row r="91" spans="1:37">
      <c r="A91" s="561" t="s">
        <v>668</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row>
    <row r="92" spans="1:37">
      <c r="A92" s="561" t="s">
        <v>669</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row>
    <row r="93" spans="1:37">
      <c r="A93" s="561" t="s">
        <v>670</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row>
    <row r="94" spans="1:37">
      <c r="A94" s="561" t="s">
        <v>671</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row>
    <row r="95" spans="1:37">
      <c r="A95" s="561" t="s">
        <v>672</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row>
    <row r="96" spans="1:37">
      <c r="A96" s="561" t="s">
        <v>673</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row>
    <row r="97" spans="1:32">
      <c r="A97" s="561" t="s">
        <v>674</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row>
    <row r="98" spans="1:32">
      <c r="A98" s="561" t="s">
        <v>675</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row>
    <row r="99" spans="1:32">
      <c r="A99" s="561" t="s">
        <v>676</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row>
    <row r="100" spans="1:32">
      <c r="A100" s="561" t="s">
        <v>677</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row>
    <row r="101" spans="1:32">
      <c r="A101" s="561" t="s">
        <v>678</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row>
    <row r="102" spans="1:32">
      <c r="A102" s="561" t="s">
        <v>679</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row>
    <row r="103" spans="1:32">
      <c r="A103" s="561" t="s">
        <v>680</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row>
    <row r="104" spans="1:32">
      <c r="A104" s="561" t="s">
        <v>681</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row>
    <row r="105" spans="1:32">
      <c r="A105" s="561" t="s">
        <v>682</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row>
    <row r="106" spans="1:32">
      <c r="A106" s="561" t="s">
        <v>683</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row>
    <row r="107" spans="1:32">
      <c r="A107" s="561" t="s">
        <v>684</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row>
    <row r="108" spans="1:32">
      <c r="A108" s="561" t="s">
        <v>636</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row>
    <row r="109" spans="1:32">
      <c r="A109" s="561" t="s">
        <v>685</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row>
    <row r="110" spans="1:32">
      <c r="A110" s="561" t="s">
        <v>686</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2">
      <c r="A111" s="561" t="s">
        <v>643</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2">
      <c r="A112" s="561" t="s">
        <v>644</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645</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687</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688</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620</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621</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622</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689</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690</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624</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627</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2015-02-19T01:06:13Z</dcterms:modified>
</cp:coreProperties>
</file>