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activeTab="4"/>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J73" i="8"/>
  <c r="J79" i="8"/>
  <c r="J54" i="11"/>
  <c r="J58" i="11"/>
  <c r="H13" i="15"/>
  <c r="H14" i="15"/>
  <c r="H29" i="15"/>
  <c r="H100" i="15"/>
  <c r="H30" i="15"/>
  <c r="H101" i="15"/>
  <c r="H7" i="9"/>
  <c r="H31" i="15"/>
  <c r="H102" i="15"/>
  <c r="H108" i="15"/>
  <c r="H113" i="15"/>
  <c r="H46" i="15"/>
  <c r="H43" i="15"/>
  <c r="H47" i="15"/>
  <c r="H116" i="15"/>
  <c r="H48" i="15"/>
  <c r="H117" i="15"/>
  <c r="H118" i="15"/>
  <c r="H127" i="15"/>
  <c r="H128" i="15"/>
  <c r="H129" i="15"/>
  <c r="H135" i="15"/>
  <c r="H140" i="15"/>
  <c r="H143" i="15"/>
  <c r="H144" i="15"/>
  <c r="H145" i="15"/>
  <c r="H249" i="15"/>
  <c r="H252" i="15"/>
  <c r="H179" i="15"/>
  <c r="H42" i="9"/>
  <c r="H47" i="9"/>
  <c r="H52" i="9"/>
  <c r="H55" i="9"/>
  <c r="H60" i="9"/>
  <c r="H65" i="9"/>
  <c r="H70" i="9"/>
  <c r="H73" i="9"/>
  <c r="H176" i="15"/>
  <c r="H182" i="15"/>
  <c r="H185" i="15"/>
  <c r="H51" i="11"/>
  <c r="H78" i="8"/>
  <c r="H73" i="8"/>
  <c r="H79" i="8"/>
  <c r="H54" i="11"/>
  <c r="H58" i="11"/>
  <c r="H56" i="11"/>
  <c r="I51" i="11"/>
  <c r="I78" i="8"/>
  <c r="I73" i="8"/>
  <c r="I79" i="8"/>
  <c r="I54" i="11"/>
  <c r="I58" i="11"/>
  <c r="I56" i="11"/>
  <c r="J51" i="11"/>
  <c r="J78" i="8"/>
  <c r="J56" i="11"/>
  <c r="K51" i="11"/>
  <c r="K78" i="8"/>
  <c r="K73" i="8"/>
  <c r="K79" i="8"/>
  <c r="K54" i="11"/>
  <c r="K58" i="11"/>
  <c r="K56" i="11"/>
  <c r="L51" i="11"/>
  <c r="L78" i="8"/>
  <c r="L73" i="8"/>
  <c r="L79" i="8"/>
  <c r="L54" i="11"/>
  <c r="L58" i="11"/>
  <c r="L56" i="11"/>
  <c r="M51" i="11"/>
  <c r="M78" i="8"/>
  <c r="M73" i="8"/>
  <c r="M79" i="8"/>
  <c r="M54" i="11"/>
  <c r="M58" i="11"/>
  <c r="M56" i="11"/>
  <c r="N51" i="11"/>
  <c r="N78" i="8"/>
  <c r="N73" i="8"/>
  <c r="N79" i="8"/>
  <c r="N54" i="11"/>
  <c r="N58" i="11"/>
  <c r="N56" i="11"/>
  <c r="O51" i="11"/>
  <c r="O78" i="8"/>
  <c r="O73" i="8"/>
  <c r="O79" i="8"/>
  <c r="O54" i="11"/>
  <c r="O58" i="11"/>
  <c r="O56" i="11"/>
  <c r="P51" i="11"/>
  <c r="P78" i="8"/>
  <c r="P73" i="8"/>
  <c r="P79" i="8"/>
  <c r="P54" i="11"/>
  <c r="P58" i="11"/>
  <c r="P56" i="11"/>
  <c r="Q51" i="11"/>
  <c r="Q78" i="8"/>
  <c r="Q73" i="8"/>
  <c r="Q79" i="8"/>
  <c r="Q54" i="11"/>
  <c r="Q58" i="11"/>
  <c r="Q56" i="11"/>
  <c r="R51" i="11"/>
  <c r="R78" i="8"/>
  <c r="R73" i="8"/>
  <c r="R79" i="8"/>
  <c r="R54" i="11"/>
  <c r="R58" i="11"/>
  <c r="R56" i="11"/>
  <c r="S51" i="11"/>
  <c r="S78" i="8"/>
  <c r="S73" i="8"/>
  <c r="S79" i="8"/>
  <c r="S54" i="11"/>
  <c r="S58" i="11"/>
  <c r="S56" i="11"/>
  <c r="T51" i="11"/>
  <c r="T78" i="8"/>
  <c r="T73" i="8"/>
  <c r="T79" i="8"/>
  <c r="T54" i="11"/>
  <c r="T58" i="11"/>
  <c r="T56" i="11"/>
  <c r="U51" i="11"/>
  <c r="U78" i="8"/>
  <c r="U73" i="8"/>
  <c r="U79" i="8"/>
  <c r="U54" i="11"/>
  <c r="U58" i="11"/>
  <c r="U56" i="11"/>
  <c r="V51" i="11"/>
  <c r="V78" i="8"/>
  <c r="V73" i="8"/>
  <c r="V79" i="8"/>
  <c r="V54" i="11"/>
  <c r="V58" i="11"/>
  <c r="V56" i="11"/>
  <c r="W51" i="11"/>
  <c r="W78" i="8"/>
  <c r="W73" i="8"/>
  <c r="W79" i="8"/>
  <c r="W54" i="11"/>
  <c r="W58" i="11"/>
  <c r="W56" i="11"/>
  <c r="X51" i="11"/>
  <c r="X78" i="8"/>
  <c r="X73" i="8"/>
  <c r="X79" i="8"/>
  <c r="X54" i="11"/>
  <c r="X58" i="11"/>
  <c r="X56" i="11"/>
  <c r="Y51" i="11"/>
  <c r="Y78" i="8"/>
  <c r="Y73" i="8"/>
  <c r="Y79" i="8"/>
  <c r="Y54" i="11"/>
  <c r="Y58" i="11"/>
  <c r="Y56" i="11"/>
  <c r="Z51" i="11"/>
  <c r="Z78" i="8"/>
  <c r="Z73" i="8"/>
  <c r="Z79" i="8"/>
  <c r="Z54" i="11"/>
  <c r="Z58" i="11"/>
  <c r="Z56" i="11"/>
  <c r="AA51" i="11"/>
  <c r="AA78" i="8"/>
  <c r="AA73" i="8"/>
  <c r="AA79" i="8"/>
  <c r="AA54" i="11"/>
  <c r="AA58" i="11"/>
  <c r="AA56" i="11"/>
  <c r="AB51" i="11"/>
  <c r="AB78" i="8"/>
  <c r="AB73" i="8"/>
  <c r="AB79" i="8"/>
  <c r="AB54" i="11"/>
  <c r="AB58" i="11"/>
  <c r="AB56" i="11"/>
  <c r="AC51" i="11"/>
  <c r="AC78" i="8"/>
  <c r="AC73" i="8"/>
  <c r="AC79" i="8"/>
  <c r="AC54" i="11"/>
  <c r="AC58" i="11"/>
  <c r="AC56" i="11"/>
  <c r="AD51" i="11"/>
  <c r="AD78" i="8"/>
  <c r="AD73" i="8"/>
  <c r="AD79" i="8"/>
  <c r="AD54" i="11"/>
  <c r="AD58" i="11"/>
  <c r="AD56" i="11"/>
  <c r="AE51" i="11"/>
  <c r="AE78" i="8"/>
  <c r="AE73" i="8"/>
  <c r="AE79" i="8"/>
  <c r="AE54" i="11"/>
  <c r="AE58" i="11"/>
  <c r="AE56" i="11"/>
  <c r="AF51" i="11"/>
  <c r="AF78" i="8"/>
  <c r="AF73" i="8"/>
  <c r="AF79" i="8"/>
  <c r="AF54" i="11"/>
  <c r="AF58" i="11"/>
  <c r="AF56" i="11"/>
  <c r="AG51" i="11"/>
  <c r="AG78" i="8"/>
  <c r="AG73" i="8"/>
  <c r="AG79" i="8"/>
  <c r="AG54" i="11"/>
  <c r="AG58" i="11"/>
  <c r="AG56" i="11"/>
  <c r="AH51" i="11"/>
  <c r="AH78" i="8"/>
  <c r="AH73" i="8"/>
  <c r="AH79" i="8"/>
  <c r="AH54" i="11"/>
  <c r="AH58" i="11"/>
  <c r="AH56" i="11"/>
  <c r="AI51" i="11"/>
  <c r="AI78" i="8"/>
  <c r="AI73" i="8"/>
  <c r="AI79" i="8"/>
  <c r="AI54" i="11"/>
  <c r="AI58" i="11"/>
  <c r="AI56" i="11"/>
  <c r="AJ51" i="11"/>
  <c r="AJ78" i="8"/>
  <c r="AJ73" i="8"/>
  <c r="AJ79" i="8"/>
  <c r="AJ54" i="11"/>
  <c r="AJ58" i="11"/>
  <c r="AJ56" i="11"/>
  <c r="G51" i="11"/>
  <c r="G78" i="8"/>
  <c r="G73" i="8"/>
  <c r="G79" i="8"/>
  <c r="G54" i="11"/>
  <c r="G58" i="11"/>
  <c r="G56" i="11"/>
  <c r="P74" i="8"/>
  <c r="P75" i="8"/>
  <c r="P76" i="8"/>
  <c r="P77" i="8"/>
  <c r="N13" i="15"/>
  <c r="N14" i="15"/>
  <c r="N7" i="9"/>
  <c r="D35" i="5"/>
  <c r="C35" i="5"/>
  <c r="Z74" i="8"/>
  <c r="Z75" i="8"/>
  <c r="Z76" i="8"/>
  <c r="Z77" i="8"/>
  <c r="X13" i="15"/>
  <c r="X14" i="15"/>
  <c r="X7" i="9"/>
  <c r="D29" i="5"/>
  <c r="C29" i="5"/>
  <c r="D28" i="5"/>
  <c r="C28" i="5"/>
  <c r="F35" i="5"/>
  <c r="AJ74" i="8"/>
  <c r="AJ75" i="8"/>
  <c r="AJ76" i="8"/>
  <c r="AJ77" i="8"/>
  <c r="AH13" i="15"/>
  <c r="AH14" i="15"/>
  <c r="AH7" i="9"/>
  <c r="D30" i="5"/>
  <c r="C30" i="5"/>
  <c r="H35" i="5"/>
  <c r="AH26" i="15"/>
  <c r="AH31" i="15"/>
  <c r="D36" i="5"/>
  <c r="C36" i="5"/>
  <c r="F36" i="5"/>
  <c r="H36" i="5"/>
  <c r="AH18" i="15"/>
  <c r="AH32" i="15"/>
  <c r="N10" i="9"/>
  <c r="D17" i="5"/>
  <c r="N11" i="9"/>
  <c r="N12" i="9"/>
  <c r="N16" i="9"/>
  <c r="N18" i="9"/>
  <c r="D11" i="5"/>
  <c r="C17" i="5"/>
  <c r="F17" i="5"/>
  <c r="I17" i="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AH43" i="15"/>
  <c r="F34" i="5"/>
  <c r="H34" i="5"/>
  <c r="AH24" i="15"/>
  <c r="AH30" i="15"/>
  <c r="AJ60" i="11"/>
  <c r="AH46" i="15"/>
  <c r="AH47" i="15"/>
  <c r="AH48" i="15"/>
  <c r="AH49" i="15"/>
  <c r="AH93" i="15"/>
  <c r="X26" i="15"/>
  <c r="X31" i="15"/>
  <c r="X18" i="15"/>
  <c r="X32" i="15"/>
  <c r="X34" i="15"/>
  <c r="X35" i="15"/>
  <c r="X37" i="15"/>
  <c r="X38" i="15"/>
  <c r="X39" i="15"/>
  <c r="X40" i="15"/>
  <c r="X42" i="15"/>
  <c r="X43" i="15"/>
  <c r="X24" i="15"/>
  <c r="X30" i="15"/>
  <c r="Z60" i="11"/>
  <c r="X46" i="15"/>
  <c r="X47" i="15"/>
  <c r="X48" i="15"/>
  <c r="X49" i="15"/>
  <c r="X93" i="15"/>
  <c r="AH78" i="15"/>
  <c r="AH94" i="15"/>
  <c r="X94" i="15"/>
  <c r="AH79" i="15"/>
  <c r="AH87" i="15"/>
  <c r="X87" i="15"/>
  <c r="AH72" i="15"/>
  <c r="N26" i="15"/>
  <c r="N31" i="15"/>
  <c r="N18" i="15"/>
  <c r="N32" i="15"/>
  <c r="C24" i="5"/>
  <c r="E17" i="5"/>
  <c r="N19" i="15"/>
  <c r="N20" i="15"/>
  <c r="N21" i="15"/>
  <c r="N34" i="15"/>
  <c r="E19" i="5"/>
  <c r="N35" i="15"/>
  <c r="E20" i="5"/>
  <c r="N37" i="15"/>
  <c r="E21" i="5"/>
  <c r="N38" i="15"/>
  <c r="E22" i="5"/>
  <c r="N39" i="15"/>
  <c r="E18" i="5"/>
  <c r="N40" i="15"/>
  <c r="E23" i="5"/>
  <c r="N42" i="15"/>
  <c r="N43" i="15"/>
  <c r="N30" i="15"/>
  <c r="P60" i="11"/>
  <c r="N46" i="15"/>
  <c r="N47" i="15"/>
  <c r="N48" i="15"/>
  <c r="N49" i="15"/>
  <c r="N93" i="15"/>
  <c r="X78" i="15"/>
  <c r="N94" i="15"/>
  <c r="X79" i="15"/>
  <c r="N87" i="15"/>
  <c r="X72" i="15"/>
  <c r="J74" i="8"/>
  <c r="H11" i="9"/>
  <c r="H35" i="15"/>
  <c r="J76" i="8"/>
  <c r="H10" i="9"/>
  <c r="H34" i="15"/>
  <c r="J75" i="8"/>
  <c r="H12" i="9"/>
  <c r="H37" i="15"/>
  <c r="H16" i="9"/>
  <c r="H42" i="15"/>
  <c r="J77" i="8"/>
  <c r="J60" i="11"/>
  <c r="H49" i="15"/>
  <c r="H93" i="15"/>
  <c r="N78" i="15"/>
  <c r="H94" i="15"/>
  <c r="N79" i="15"/>
  <c r="H87" i="15"/>
  <c r="N72" i="15"/>
  <c r="H74" i="8"/>
  <c r="H75" i="8"/>
  <c r="H76" i="8"/>
  <c r="H77" i="8"/>
  <c r="I74" i="8"/>
  <c r="I75" i="8"/>
  <c r="I76" i="8"/>
  <c r="I77" i="8"/>
  <c r="K74" i="8"/>
  <c r="K75" i="8"/>
  <c r="K76" i="8"/>
  <c r="K77" i="8"/>
  <c r="L74" i="8"/>
  <c r="L75" i="8"/>
  <c r="L76" i="8"/>
  <c r="L77" i="8"/>
  <c r="M74" i="8"/>
  <c r="M75" i="8"/>
  <c r="M76" i="8"/>
  <c r="M77" i="8"/>
  <c r="N74" i="8"/>
  <c r="N75" i="8"/>
  <c r="N76" i="8"/>
  <c r="N77" i="8"/>
  <c r="O74" i="8"/>
  <c r="O75" i="8"/>
  <c r="O76" i="8"/>
  <c r="O77" i="8"/>
  <c r="Q74" i="8"/>
  <c r="Q75" i="8"/>
  <c r="Q76" i="8"/>
  <c r="Q77" i="8"/>
  <c r="R74" i="8"/>
  <c r="R75" i="8"/>
  <c r="R76" i="8"/>
  <c r="R77" i="8"/>
  <c r="S74" i="8"/>
  <c r="S75" i="8"/>
  <c r="S76" i="8"/>
  <c r="S77" i="8"/>
  <c r="T74" i="8"/>
  <c r="T75" i="8"/>
  <c r="T76" i="8"/>
  <c r="T77" i="8"/>
  <c r="U74" i="8"/>
  <c r="U75" i="8"/>
  <c r="U76" i="8"/>
  <c r="U77" i="8"/>
  <c r="V74" i="8"/>
  <c r="V75" i="8"/>
  <c r="V76" i="8"/>
  <c r="V77" i="8"/>
  <c r="W74" i="8"/>
  <c r="W75" i="8"/>
  <c r="W76" i="8"/>
  <c r="W77" i="8"/>
  <c r="X74" i="8"/>
  <c r="X75" i="8"/>
  <c r="X76" i="8"/>
  <c r="X77" i="8"/>
  <c r="Y74" i="8"/>
  <c r="Y75" i="8"/>
  <c r="Y76" i="8"/>
  <c r="Y77" i="8"/>
  <c r="AA74" i="8"/>
  <c r="AA75" i="8"/>
  <c r="AA76" i="8"/>
  <c r="AA77" i="8"/>
  <c r="AB74" i="8"/>
  <c r="AB75" i="8"/>
  <c r="AB76" i="8"/>
  <c r="AB77" i="8"/>
  <c r="AC74" i="8"/>
  <c r="AC75" i="8"/>
  <c r="AC76" i="8"/>
  <c r="AC77" i="8"/>
  <c r="AD74" i="8"/>
  <c r="AD75" i="8"/>
  <c r="AD76" i="8"/>
  <c r="AD77" i="8"/>
  <c r="AE74" i="8"/>
  <c r="AE75" i="8"/>
  <c r="AE76" i="8"/>
  <c r="AE77" i="8"/>
  <c r="AF74" i="8"/>
  <c r="AF75" i="8"/>
  <c r="AF76" i="8"/>
  <c r="AF77" i="8"/>
  <c r="AG74" i="8"/>
  <c r="AG75" i="8"/>
  <c r="AG76" i="8"/>
  <c r="AG77" i="8"/>
  <c r="AH74" i="8"/>
  <c r="AH75" i="8"/>
  <c r="AH76" i="8"/>
  <c r="AH77" i="8"/>
  <c r="AI74" i="8"/>
  <c r="AI75" i="8"/>
  <c r="AI76" i="8"/>
  <c r="AI77" i="8"/>
  <c r="G74" i="8"/>
  <c r="G75" i="8"/>
  <c r="G76" i="8"/>
  <c r="G77" i="8"/>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G52" i="11"/>
  <c r="H49" i="11"/>
  <c r="H50" i="11"/>
  <c r="I49" i="11"/>
  <c r="I50" i="11"/>
  <c r="J49" i="11"/>
  <c r="J50" i="11"/>
  <c r="K49" i="11"/>
  <c r="K50" i="11"/>
  <c r="L49" i="11"/>
  <c r="L50" i="11"/>
  <c r="M49" i="11"/>
  <c r="M50" i="11"/>
  <c r="N49" i="11"/>
  <c r="N50" i="11"/>
  <c r="O49" i="11"/>
  <c r="O50" i="11"/>
  <c r="P49" i="11"/>
  <c r="P50" i="11"/>
  <c r="Q49" i="11"/>
  <c r="Q50" i="11"/>
  <c r="R49" i="11"/>
  <c r="R50" i="11"/>
  <c r="S49" i="11"/>
  <c r="S50" i="11"/>
  <c r="T49" i="11"/>
  <c r="T50" i="11"/>
  <c r="U49" i="11"/>
  <c r="U50" i="11"/>
  <c r="V49" i="11"/>
  <c r="V50" i="11"/>
  <c r="W49" i="11"/>
  <c r="W50" i="11"/>
  <c r="X49" i="11"/>
  <c r="X50" i="11"/>
  <c r="Y49" i="11"/>
  <c r="Y50" i="11"/>
  <c r="Z49" i="11"/>
  <c r="Z50" i="11"/>
  <c r="AA49" i="11"/>
  <c r="AA50" i="11"/>
  <c r="AB49" i="11"/>
  <c r="AB50" i="11"/>
  <c r="AC49" i="11"/>
  <c r="AC50" i="11"/>
  <c r="AD49" i="11"/>
  <c r="AD50" i="11"/>
  <c r="AE49" i="11"/>
  <c r="AE50" i="11"/>
  <c r="AF49" i="11"/>
  <c r="AF50" i="11"/>
  <c r="AG49" i="11"/>
  <c r="AG50" i="11"/>
  <c r="AH49" i="11"/>
  <c r="AH50" i="11"/>
  <c r="AI49" i="11"/>
  <c r="AI50" i="11"/>
  <c r="AJ49" i="11"/>
  <c r="AJ50" i="11"/>
  <c r="AH16" i="15"/>
  <c r="Z13" i="15"/>
  <c r="Z14" i="15"/>
  <c r="N8" i="9"/>
  <c r="N13" i="9"/>
  <c r="N14" i="9"/>
  <c r="X8" i="9"/>
  <c r="X58" i="15"/>
  <c r="AH86" i="15"/>
  <c r="X86" i="15"/>
  <c r="AH71" i="15"/>
  <c r="Y58" i="15"/>
  <c r="Z58" i="15"/>
  <c r="Z10" i="9"/>
  <c r="Z34" i="15"/>
  <c r="Y26" i="15"/>
  <c r="Z26" i="15"/>
  <c r="Z31" i="15"/>
  <c r="Y18" i="15"/>
  <c r="Z18" i="15"/>
  <c r="Z32" i="15"/>
  <c r="X59" i="15"/>
  <c r="Y59" i="15"/>
  <c r="Z59" i="15"/>
  <c r="Z11" i="9"/>
  <c r="Z35" i="15"/>
  <c r="X61" i="15"/>
  <c r="AH89" i="15"/>
  <c r="X89" i="15"/>
  <c r="AH74" i="15"/>
  <c r="Y61" i="15"/>
  <c r="Z61" i="15"/>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A12" i="9"/>
  <c r="AA37" i="15"/>
  <c r="AA62" i="15"/>
  <c r="AA13" i="9"/>
  <c r="AA38" i="15"/>
  <c r="AA63" i="15"/>
  <c r="AA14" i="9"/>
  <c r="AA39" i="15"/>
  <c r="AA64" i="15"/>
  <c r="AA40" i="15"/>
  <c r="AA66" i="15"/>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B12" i="9"/>
  <c r="AB37" i="15"/>
  <c r="AB62" i="15"/>
  <c r="AB13" i="9"/>
  <c r="AB38" i="15"/>
  <c r="AB63" i="15"/>
  <c r="AB14" i="9"/>
  <c r="AB39" i="15"/>
  <c r="AB64" i="15"/>
  <c r="AB40" i="15"/>
  <c r="AB66" i="15"/>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C12" i="9"/>
  <c r="AC37" i="15"/>
  <c r="AC62" i="15"/>
  <c r="AC13" i="9"/>
  <c r="AC38" i="15"/>
  <c r="AC63" i="15"/>
  <c r="AC14" i="9"/>
  <c r="AC39" i="15"/>
  <c r="AC64" i="15"/>
  <c r="AC40" i="15"/>
  <c r="AC66" i="15"/>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D12" i="9"/>
  <c r="AD37" i="15"/>
  <c r="AD62" i="15"/>
  <c r="AD13" i="9"/>
  <c r="AD38" i="15"/>
  <c r="AD63" i="15"/>
  <c r="AD14" i="9"/>
  <c r="AD39" i="15"/>
  <c r="AD64" i="15"/>
  <c r="AD40" i="15"/>
  <c r="AD66" i="15"/>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E12" i="9"/>
  <c r="AE37" i="15"/>
  <c r="AE62" i="15"/>
  <c r="AE13" i="9"/>
  <c r="AE38" i="15"/>
  <c r="AE63" i="15"/>
  <c r="AE14" i="9"/>
  <c r="AE39" i="15"/>
  <c r="AE64" i="15"/>
  <c r="AE40" i="15"/>
  <c r="AE66" i="15"/>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F12" i="9"/>
  <c r="AF37" i="15"/>
  <c r="AF62" i="15"/>
  <c r="AF13" i="9"/>
  <c r="AF38" i="15"/>
  <c r="AF63" i="15"/>
  <c r="AF14" i="9"/>
  <c r="AF39" i="15"/>
  <c r="AF64" i="15"/>
  <c r="AF40" i="15"/>
  <c r="AF66" i="15"/>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G12" i="9"/>
  <c r="AG37" i="15"/>
  <c r="AG62" i="15"/>
  <c r="AG13" i="9"/>
  <c r="AG38" i="15"/>
  <c r="AG63" i="15"/>
  <c r="AG14" i="9"/>
  <c r="AG39" i="15"/>
  <c r="AG64" i="15"/>
  <c r="AG40" i="15"/>
  <c r="AG66" i="15"/>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Y12" i="9"/>
  <c r="Y37" i="15"/>
  <c r="Y13" i="9"/>
  <c r="Y38" i="15"/>
  <c r="Y14" i="9"/>
  <c r="Y39" i="15"/>
  <c r="Y40" i="15"/>
  <c r="Y16" i="9"/>
  <c r="Y42" i="15"/>
  <c r="Y43" i="15"/>
  <c r="Y30" i="15"/>
  <c r="Y46" i="15"/>
  <c r="AA60" i="11"/>
  <c r="Y47" i="15"/>
  <c r="Y48" i="15"/>
  <c r="Y49" i="15"/>
  <c r="Y86" i="15"/>
  <c r="Y87" i="15"/>
  <c r="Y88" i="15"/>
  <c r="Y89" i="15"/>
  <c r="Y90" i="15"/>
  <c r="Y91" i="15"/>
  <c r="Y92" i="15"/>
  <c r="Y93" i="15"/>
  <c r="Y94" i="15"/>
  <c r="Y95" i="15"/>
  <c r="Y16" i="15"/>
  <c r="G11" i="5"/>
  <c r="E11" i="5"/>
  <c r="G50" i="11"/>
  <c r="G49" i="11"/>
  <c r="B58" i="11"/>
  <c r="C58" i="11"/>
  <c r="D58" i="11"/>
  <c r="E58" i="11"/>
  <c r="F58" i="11"/>
  <c r="X10" i="9"/>
  <c r="X11" i="9"/>
  <c r="X12" i="9"/>
  <c r="X13" i="9"/>
  <c r="X14" i="9"/>
  <c r="X16" i="9"/>
  <c r="X18" i="9"/>
  <c r="D12" i="5"/>
  <c r="E12" i="5"/>
  <c r="AH8" i="9"/>
  <c r="AH10" i="9"/>
  <c r="AH11" i="9"/>
  <c r="AH12" i="9"/>
  <c r="AH13" i="9"/>
  <c r="AH14" i="9"/>
  <c r="AH16" i="9"/>
  <c r="AH18" i="9"/>
  <c r="D13" i="5"/>
  <c r="E13" i="5"/>
  <c r="G13" i="5"/>
  <c r="G12" i="5"/>
  <c r="E60" i="11"/>
  <c r="F60" i="11"/>
  <c r="G60" i="11"/>
  <c r="H60" i="11"/>
  <c r="I60" i="11"/>
  <c r="K60" i="11"/>
  <c r="L60" i="11"/>
  <c r="M60" i="11"/>
  <c r="N60" i="11"/>
  <c r="O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16" i="15"/>
  <c r="N86" i="15"/>
  <c r="H32" i="15"/>
  <c r="H13" i="9"/>
  <c r="H38" i="15"/>
  <c r="H14" i="9"/>
  <c r="H39"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50" i="15"/>
  <c r="H251" i="15"/>
  <c r="H253" i="15"/>
  <c r="H254"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5" i="15"/>
  <c r="H214" i="15"/>
  <c r="H131"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<sst xmlns="http://schemas.openxmlformats.org/spreadsheetml/2006/main" count="1326" uniqueCount="760">
  <si>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</si>
  <si>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</si>
  <si>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</si>
  <si>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</si>
  <si>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</si>
  <si>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</si>
  <si>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</si>
  <si>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</si>
  <si>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</si>
  <si>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</si>
  <si>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</si>
  <si>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</si>
  <si>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</si>
  <si>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</si>
  <si>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</si>
  <si>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</si>
  <si>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</si>
  <si>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</si>
  <si>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</si>
  <si>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</si>
  <si>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</si>
  <si>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</si>
  <si>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</si>
  <si>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</si>
  <si>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</si>
  <si>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</si>
  <si>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</si>
  <si>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</si>
  <si>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</si>
  <si>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</si>
  <si>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</si>
  <si>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</si>
  <si>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</si>
  <si>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</si>
  <si>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</si>
  <si>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</si>
  <si>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</si>
  <si>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</si>
  <si>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</si>
  <si>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</si>
  <si>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</si>
  <si>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</si>
  <si>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</si>
  <si>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</si>
  <si>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</si>
  <si>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</si>
  <si>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</si>
  <si>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</si>
  <si>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</si>
  <si>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</si>
  <si>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</si>
  <si>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</si>
  <si>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</si>
  <si>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</si>
  <si>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</si>
  <si>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</si>
  <si>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</si>
  <si>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</si>
  <si>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</si>
  <si>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</si>
  <si>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</si>
  <si>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</si>
  <si>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</si>
  <si>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</si>
  <si>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</si>
  <si>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</si>
  <si>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</si>
  <si>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</si>
  <si>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</si>
  <si>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</si>
  <si>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</si>
  <si>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</si>
  <si>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</si>
  <si>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</si>
  <si>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</si>
  <si>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</si>
  <si>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</si>
  <si>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</si>
  <si>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</si>
  <si>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</si>
  <si>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</si>
  <si>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</si>
  <si>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</si>
  <si>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</si>
  <si>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</si>
  <si>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</si>
  <si>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</si>
  <si>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</si>
  <si>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</si>
  <si>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</si>
  <si>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</si>
  <si>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</si>
  <si>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</si>
  <si>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</si>
  <si>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</si>
  <si>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</si>
  <si>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</si>
  <si>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</si>
  <si>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</si>
  <si>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</si>
  <si>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</si>
  <si>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</si>
  <si>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</si>
  <si>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</si>
  <si>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</si>
  <si>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</si>
  <si>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</si>
  <si>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</si>
  <si>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</si>
  <si>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</si>
  <si>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</si>
  <si>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</si>
  <si>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</si>
  <si>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</si>
  <si>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</si>
  <si>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</si>
  <si>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</si>
  <si>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</si>
  <si>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</si>
  <si>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</si>
  <si>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</si>
  <si>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</si>
  <si>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</si>
  <si>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</si>
  <si>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</si>
  <si>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</si>
  <si>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</si>
  <si>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</si>
  <si>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</si>
  <si>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</si>
  <si>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</si>
  <si>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</si>
  <si>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</si>
  <si>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</si>
  <si>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</si>
  <si>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</si>
  <si>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</si>
  <si>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</si>
  <si>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</si>
  <si>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</si>
  <si>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</si>
  <si>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</si>
  <si>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</si>
  <si>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</si>
  <si>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</si>
  <si>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</si>
  <si>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</si>
  <si>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</si>
  <si>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</si>
  <si>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</si>
  <si>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</si>
  <si>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</si>
  <si>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</si>
  <si>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</si>
  <si>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</si>
  <si>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</si>
  <si>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</si>
  <si>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</si>
  <si>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</si>
  <si>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</si>
  <si>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</si>
  <si>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</si>
  <si>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</si>
  <si>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</si>
  <si>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</si>
  <si>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</si>
  <si>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</si>
  <si>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</si>
  <si>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</si>
  <si>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</si>
  <si>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</si>
  <si>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</si>
  <si>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</si>
  <si>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</si>
  <si>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</si>
  <si>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</si>
  <si>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</si>
  <si>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</si>
  <si>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</si>
  <si>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</si>
  <si>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</si>
  <si>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</si>
  <si>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</si>
  <si>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</si>
  <si>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</si>
  <si>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</si>
  <si>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</si>
  <si>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</si>
  <si>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</si>
  <si>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</si>
  <si>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</si>
  <si>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</si>
  <si>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</si>
  <si>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</si>
  <si>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</si>
  <si>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</si>
  <si>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</si>
  <si>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</si>
  <si>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</si>
  <si>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</si>
  <si>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</si>
  <si>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</si>
  <si>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</si>
  <si>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</si>
  <si>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</si>
  <si>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</si>
  <si>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</si>
  <si>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</si>
  <si>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</si>
  <si>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</si>
  <si>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</si>
  <si>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</si>
  <si>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</si>
  <si>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</si>
  <si>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</si>
  <si>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</si>
  <si>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</si>
  <si>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</si>
  <si>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</si>
  <si>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</si>
  <si>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</si>
  <si>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</si>
  <si>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</si>
  <si>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</si>
  <si>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</si>
  <si>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</si>
  <si>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</si>
  <si>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</si>
  <si>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</si>
  <si>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</si>
  <si>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</si>
  <si>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</si>
  <si>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</si>
  <si>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</si>
  <si>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</si>
  <si>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</si>
  <si>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</si>
  <si>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</si>
  <si>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</si>
  <si>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</si>
  <si>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</si>
  <si>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</si>
  <si>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</si>
  <si>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</si>
  <si>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</si>
  <si>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</si>
  <si>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</si>
  <si>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</si>
  <si>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</si>
  <si>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</si>
  <si>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</si>
  <si>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</si>
  <si>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</si>
  <si>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</si>
  <si>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</si>
  <si>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</si>
  <si>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</si>
  <si>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</si>
  <si>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</si>
  <si>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</si>
  <si>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</si>
  <si>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</si>
  <si>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</si>
  <si>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</si>
  <si>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</si>
  <si>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</si>
  <si>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</si>
  <si>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</si>
  <si>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</si>
  <si>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</si>
  <si>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</si>
  <si>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</si>
  <si>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</si>
  <si>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</si>
  <si>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</si>
  <si>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</si>
  <si>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</si>
  <si>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</si>
  <si>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</si>
  <si>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</si>
  <si>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</si>
  <si>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</si>
  <si>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</si>
  <si>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</si>
  <si>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</si>
  <si>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</si>
  <si>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</si>
  <si>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</si>
  <si>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</si>
  <si>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</si>
  <si>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</si>
  <si>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</si>
  <si>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</si>
  <si>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</si>
  <si>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</si>
  <si>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</si>
  <si>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</si>
  <si>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</si>
  <si>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</si>
  <si>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</si>
  <si>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</si>
  <si>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</si>
  <si>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</si>
  <si>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</si>
  <si>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</si>
  <si>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</si>
  <si>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</si>
  <si>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</si>
  <si>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</si>
  <si>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</si>
  <si>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</si>
  <si>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</si>
  <si>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</si>
  <si>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</si>
  <si>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</si>
  <si>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</si>
  <si>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</si>
  <si>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</si>
  <si>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</si>
  <si>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</si>
  <si>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</si>
  <si>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</si>
  <si>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</si>
  <si>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</si>
  <si>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</si>
  <si>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</si>
  <si>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</si>
  <si>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</si>
  <si>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</si>
  <si>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</si>
  <si>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</si>
  <si>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</si>
  <si>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</si>
  <si>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</si>
  <si>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</si>
  <si>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</si>
  <si>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</si>
  <si>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</si>
  <si>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</si>
  <si>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</si>
  <si>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</si>
  <si>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</si>
  <si>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</si>
  <si>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</si>
  <si>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</si>
  <si>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</si>
  <si>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</si>
  <si>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</si>
  <si>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</si>
  <si>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</si>
  <si>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[Solar total]</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</si>
  <si>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</si>
  <si>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</si>
  <si>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</si>
  <si>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</si>
  <si>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</si>
  <si>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</si>
  <si>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</si>
  <si>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</si>
  <si>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</si>
  <si>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</si>
  <si>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</si>
  <si>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</si>
  <si>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</si>
  <si>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</si>
  <si>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</si>
  <si>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</si>
  <si>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</si>
  <si>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</si>
  <si>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</si>
  <si>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</si>
  <si>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</si>
  <si>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</si>
  <si>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</si>
  <si>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</si>
  <si>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</si>
  <si>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</si>
  <si>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</si>
  <si>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</si>
  <si>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</si>
  <si>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</si>
  <si>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</si>
  <si>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</si>
  <si>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</si>
  <si>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</si>
  <si>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</si>
  <si>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</si>
  <si>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</si>
  <si>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</si>
  <si>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</si>
  <si>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</si>
  <si>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</si>
  <si>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</si>
  <si>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</si>
  <si>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</si>
  <si>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</si>
  <si>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</si>
  <si>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</si>
  <si>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</si>
  <si>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</si>
  <si>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</si>
  <si>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</si>
  <si>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</si>
  <si>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</si>
  <si>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</si>
  <si>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</si>
  <si>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</si>
  <si>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</si>
  <si>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</si>
  <si>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</si>
  <si>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</si>
  <si>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</si>
  <si>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</si>
  <si>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</si>
  <si>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</si>
  <si>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</si>
  <si>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</si>
  <si>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</si>
  <si>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</si>
  <si>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</si>
  <si>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</si>
  <si>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</si>
  <si>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</si>
  <si>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</si>
  <si>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</si>
  <si>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</si>
  <si>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</si>
  <si>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</si>
  <si>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</si>
  <si>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</si>
  <si>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</si>
  <si>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</si>
  <si>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</si>
  <si>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</si>
  <si>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</si>
  <si>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</si>
  <si>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</si>
  <si>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</si>
  <si>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</si>
  <si>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</si>
  <si>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</si>
  <si>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</si>
  <si>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</si>
  <si>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</si>
  <si>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</si>
  <si>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</si>
  <si>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</si>
  <si>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</si>
  <si>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</si>
  <si>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</si>
  <si>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</si>
  <si>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</si>
  <si>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</si>
  <si>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</si>
  <si>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</si>
  <si>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</si>
  <si>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</si>
  <si>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</si>
  <si>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</si>
  <si>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</si>
  <si>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</si>
  <si>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</si>
  <si>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</si>
  <si>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</si>
  <si>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</si>
  <si>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</si>
  <si>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</si>
  <si>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</si>
  <si>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</si>
  <si>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</si>
  <si>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</si>
  <si>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</si>
  <si>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</si>
  <si>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</si>
  <si>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</si>
  <si>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</si>
  <si>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</si>
  <si>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</si>
  <si>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</si>
  <si>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</si>
  <si>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</si>
  <si>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</si>
  <si>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</si>
  <si>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</si>
  <si>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</si>
  <si>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</si>
  <si>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</si>
  <si>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</si>
  <si>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</si>
  <si>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</si>
  <si>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</si>
  <si>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</si>
  <si>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</si>
  <si>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</si>
  <si>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</si>
  <si>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</si>
  <si>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</si>
  <si>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</si>
  <si>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</si>
  <si>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</si>
  <si>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</si>
  <si>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</si>
  <si>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</si>
  <si>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</si>
  <si>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</si>
  <si>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</si>
  <si>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</si>
  <si>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</si>
  <si>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</si>
  <si>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</si>
  <si>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</si>
  <si>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</si>
  <si>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</si>
  <si>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</si>
  <si>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</si>
  <si>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</si>
  <si>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</si>
  <si>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</si>
  <si>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</si>
  <si>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</si>
  <si>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</si>
  <si>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</si>
  <si>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</si>
  <si>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</si>
  <si>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</si>
  <si>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</si>
  <si>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</si>
  <si>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</si>
  <si>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</si>
  <si>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</si>
  <si>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</si>
  <si>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</si>
  <si>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</si>
  <si>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</si>
  <si>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</si>
  <si>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</si>
  <si>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</si>
  <si>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</si>
  <si>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</si>
  <si>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</si>
  <si>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</si>
  <si>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</si>
  <si>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</si>
  <si>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</si>
  <si>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</si>
  <si>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</si>
  <si>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</si>
  <si>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</si>
  <si>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</si>
  <si>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</si>
  <si>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</si>
  <si>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</si>
  <si>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</si>
  <si>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</si>
  <si>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</si>
  <si>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</si>
  <si>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</si>
  <si>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</si>
  <si>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</si>
  <si>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</si>
  <si>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</si>
  <si>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</si>
  <si>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</si>
  <si>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</si>
  <si>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</si>
  <si>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</si>
  <si>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</si>
  <si>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</si>
  <si>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</si>
  <si>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</si>
  <si>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</si>
  <si>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</si>
  <si>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</si>
  <si>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</si>
  <si>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</si>
  <si>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</si>
  <si>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</si>
  <si>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</si>
  <si>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</si>
  <si>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</si>
  <si>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</si>
  <si>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</si>
  <si>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</si>
  <si>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</si>
  <si>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</si>
  <si>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</si>
  <si>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</si>
  <si>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</si>
  <si>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</si>
  <si>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</si>
  <si>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</si>
  <si>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</si>
  <si>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</si>
  <si>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</si>
  <si>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</si>
  <si>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</si>
  <si>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</si>
  <si>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</si>
  <si>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</si>
  <si>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</si>
  <si>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</si>
  <si>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</si>
  <si>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</si>
  <si>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</si>
  <si>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</si>
  <si>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</si>
  <si>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</si>
  <si>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</si>
  <si>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</si>
  <si>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</si>
  <si>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</si>
  <si>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</si>
  <si>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</si>
  <si>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</si>
  <si>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</si>
  <si>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</si>
  <si>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</si>
  <si>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</si>
  <si>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</si>
  <si>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</si>
  <si>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</si>
  <si>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</si>
  <si>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</si>
  <si>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</si>
  <si>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</si>
  <si>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</si>
  <si>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</si>
  <si>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</si>
  <si>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</si>
  <si>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</si>
  <si>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</si>
  <si>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</si>
  <si>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</si>
  <si>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</si>
  <si>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</si>
  <si>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</si>
  <si>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</si>
  <si>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</si>
  <si>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</si>
  <si>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</si>
  <si>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</si>
  <si>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</si>
  <si>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</si>
  <si>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</si>
  <si>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</si>
  <si>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</si>
  <si>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</si>
  <si>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</si>
  <si>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</si>
  <si>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</si>
  <si>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</si>
  <si>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</si>
  <si>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</si>
  <si>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</si>
  <si>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</si>
  <si>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</si>
  <si>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</si>
  <si>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</si>
  <si>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</si>
  <si>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</si>
  <si>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</si>
  <si>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</si>
  <si>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</si>
  <si>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</si>
  <si>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</si>
  <si>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</si>
  <si>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</si>
  <si>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</si>
  <si>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</si>
  <si>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</si>
  <si>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</si>
  <si>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</si>
  <si>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</si>
  <si>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</si>
  <si>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</si>
  <si>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</si>
  <si>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</si>
  <si>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</si>
  <si>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</si>
  <si>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</si>
  <si>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</si>
  <si>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</si>
  <si>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</si>
  <si>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</si>
  <si>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</si>
  <si>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</si>
  <si>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</si>
  <si>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</si>
  <si>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</si>
  <si>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</si>
  <si>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</si>
  <si>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</si>
  <si>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</si>
  <si>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</si>
  <si>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</si>
  <si>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</si>
  <si>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</si>
  <si>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</si>
  <si>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</si>
  <si>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</si>
  <si>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</si>
  <si>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</si>
  <si>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</si>
  <si>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</si>
  <si>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</si>
  <si>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</si>
  <si>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</si>
  <si>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</si>
  <si>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</si>
  <si>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</si>
  <si>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</si>
  <si>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</si>
  <si>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</si>
  <si>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</si>
  <si>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</si>
  <si>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</si>
  <si>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</si>
  <si>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</si>
  <si>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</si>
  <si>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</si>
  <si>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</si>
  <si>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</si>
  <si>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</si>
  <si>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</si>
  <si>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</si>
  <si>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</si>
  <si>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</si>
  <si>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</si>
  <si>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</si>
  <si>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</si>
  <si>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</si>
  <si>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</si>
  <si>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</si>
  <si>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</si>
  <si>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</si>
  <si>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</si>
  <si>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</si>
  <si>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</si>
  <si>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</si>
  <si>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</si>
  <si>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</si>
  <si>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</si>
  <si>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</si>
  <si>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</si>
  <si>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</si>
  <si>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Generation from EIA Midwest region from EIA</t>
  </si>
  <si>
    <t xml:space="preserve">    Natural Ga0</t>
  </si>
  <si>
    <t>Wood/Wood Wa0te</t>
  </si>
  <si>
    <t>Fossil</t>
  </si>
  <si>
    <t xml:space="preserve">    Other Gase0</t>
  </si>
  <si>
    <t>Pumped storage</t>
  </si>
  <si>
    <t>Energy source</t>
  </si>
  <si>
    <t>MSW Biogenic/Landfill Ga0</t>
  </si>
  <si>
    <t>Other Biomass0</t>
  </si>
  <si>
    <t>Total Electricity Generation by Fuel from EIA for Pacific</t>
  </si>
  <si>
    <t>Total Electricity Generation by Fuel by computation for Washington</t>
  </si>
  <si>
    <t>Contribution of Washington</t>
  </si>
  <si>
    <t>Proportion for Washington</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</si>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</sst>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3"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
      <sz val="10"/>
      <color rgb="FF000000"/>
      <name val="Calibri"/>
      <family val="2"/>
      <scheme val="minor"/>
    </font>
    <font>
      <b/>
      <sz val="10"/>
      <color rgb="FF000000"/>
      <name val="Calibri"/>
      <scheme val="minor"/>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30">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71">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0" xfId="0" applyNumberFormat="1" applyFont="1" applyFill="1" applyAlignment="1">
      <alignment horizontal="center"/>
    </xf>
    <xf numFmtId="165" fontId="22" fillId="9" borderId="5" xfId="0" applyNumberFormat="1" applyFont="1" applyFill="1" applyBorder="1" applyAlignment="1">
      <alignment horizontal="center"/>
    </xf>
    <xf numFmtId="165" fontId="22" fillId="9" borderId="0" xfId="0" applyNumberFormat="1" applyFont="1" applyFill="1" applyBorder="1" applyAlignment="1">
      <alignment horizontal="center"/>
    </xf>
    <xf numFmtId="167" fontId="0" fillId="2" borderId="1" xfId="10" applyNumberFormat="1" applyFont="1" applyFill="1" applyBorder="1" applyAlignment="1">
      <alignment horizontal="center"/>
    </xf>
    <xf numFmtId="0" fontId="51" fillId="0" borderId="0" xfId="0" applyFont="1" applyAlignment="1">
      <alignment wrapText="1"/>
    </xf>
    <xf numFmtId="0" fontId="52" fillId="0" borderId="0" xfId="0" applyFont="1" applyAlignment="1">
      <alignment wrapText="1"/>
    </xf>
    <xf numFmtId="168" fontId="28" fillId="2" borderId="53" xfId="0" applyNumberFormat="1" applyFont="1" applyFill="1" applyBorder="1" applyAlignment="1">
      <alignment wrapText="1"/>
    </xf>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0" fontId="0" fillId="0" borderId="0" xfId="0"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0" fontId="28" fillId="0" borderId="0" xfId="0" applyFont="1" applyAlignment="1">
      <alignment horizontal="center" vertical="top"/>
    </xf>
    <xf numFmtId="0" fontId="0" fillId="0" borderId="31" xfId="0" applyBorder="1" applyAlignment="1">
      <alignment wrapText="1"/>
    </xf>
    <xf numFmtId="0" fontId="0" fillId="0" borderId="0" xfId="0" applyAlignment="1">
      <alignment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cellXfs>
  <cellStyles count="30">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095663736"/>
        <c:axId val="2095808216"/>
      </c:lineChart>
      <c:catAx>
        <c:axId val="209566373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5808216"/>
        <c:crosses val="autoZero"/>
        <c:auto val="1"/>
        <c:lblAlgn val="ctr"/>
        <c:lblOffset val="100"/>
        <c:noMultiLvlLbl val="0"/>
      </c:catAx>
      <c:valAx>
        <c:axId val="2095808216"/>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95663736"/>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095379624"/>
        <c:axId val="2111660312"/>
      </c:lineChart>
      <c:catAx>
        <c:axId val="209537962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11660312"/>
        <c:crosses val="autoZero"/>
        <c:auto val="1"/>
        <c:lblAlgn val="ctr"/>
        <c:lblOffset val="100"/>
        <c:noMultiLvlLbl val="0"/>
      </c:catAx>
      <c:valAx>
        <c:axId val="2111660312"/>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95379624"/>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A12"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5"/>
      <c r="B1" s="535"/>
      <c r="C1" s="535"/>
      <c r="D1" s="535"/>
      <c r="E1" s="535"/>
      <c r="F1" s="535"/>
      <c r="G1" s="535"/>
      <c r="H1" s="535"/>
      <c r="I1" s="535"/>
      <c r="J1" s="535"/>
      <c r="K1" s="535"/>
      <c r="L1" s="535"/>
      <c r="M1" s="535"/>
      <c r="N1" s="535"/>
      <c r="O1" s="535"/>
      <c r="P1" s="535"/>
      <c r="Q1" s="535"/>
      <c r="R1" s="535"/>
      <c r="S1" s="535"/>
      <c r="T1" s="535"/>
    </row>
    <row r="2" spans="1:20" ht="113.25" customHeight="1">
      <c r="A2" s="535"/>
      <c r="B2" s="535"/>
      <c r="C2" s="535"/>
      <c r="D2" s="535"/>
      <c r="E2" s="535"/>
      <c r="F2" s="535"/>
      <c r="G2" s="535"/>
      <c r="H2" s="535"/>
      <c r="I2" s="535"/>
      <c r="J2" s="535"/>
      <c r="K2" s="535"/>
      <c r="L2" s="535"/>
      <c r="M2" s="535"/>
      <c r="N2" s="535"/>
      <c r="O2" s="535"/>
      <c r="P2" s="119"/>
      <c r="Q2" s="119"/>
      <c r="R2" s="119"/>
      <c r="S2" s="119"/>
      <c r="T2" s="119"/>
    </row>
    <row r="3" spans="1:20" ht="15" thickBot="1">
      <c r="C3" s="110"/>
      <c r="D3"/>
      <c r="E3" s="110"/>
      <c r="F3" s="110"/>
      <c r="G3" s="110"/>
      <c r="H3" s="110"/>
      <c r="I3" s="247"/>
      <c r="J3" s="247"/>
      <c r="K3" s="247"/>
      <c r="L3" s="171"/>
      <c r="M3" s="7" t="s">
        <v>0</v>
      </c>
    </row>
    <row r="4" spans="1:20" ht="15" thickBot="1">
      <c r="C4" s="117" t="s">
        <v>141</v>
      </c>
      <c r="D4" s="124"/>
      <c r="E4" s="119"/>
      <c r="F4" s="110"/>
      <c r="G4" s="110"/>
      <c r="H4" s="162" t="s">
        <v>0</v>
      </c>
      <c r="I4" s="247"/>
      <c r="J4" s="247"/>
      <c r="K4" s="247"/>
      <c r="L4" s="171"/>
      <c r="M4" t="s">
        <v>0</v>
      </c>
      <c r="Q4" t="s">
        <v>0</v>
      </c>
      <c r="R4" t="s">
        <v>0</v>
      </c>
    </row>
    <row r="5" spans="1:20">
      <c r="B5" s="1" t="s">
        <v>1</v>
      </c>
      <c r="C5" s="110" t="s">
        <v>708</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383</v>
      </c>
      <c r="C7" s="210" t="s">
        <v>555</v>
      </c>
      <c r="D7" s="114">
        <f>'Output - Jobs vs Yr (BAU)'!X4/'Output - Jobs vs Yr (BAU)'!C4-1</f>
        <v>0.1462621150559078</v>
      </c>
      <c r="E7" s="92" t="s">
        <v>519</v>
      </c>
      <c r="F7" s="109"/>
      <c r="G7" s="109"/>
      <c r="H7" s="29" t="s">
        <v>0</v>
      </c>
      <c r="I7" s="29"/>
      <c r="J7" s="29"/>
      <c r="K7" s="29"/>
      <c r="L7" s="29"/>
      <c r="M7" s="7" t="s">
        <v>0</v>
      </c>
      <c r="N7" t="s">
        <v>0</v>
      </c>
      <c r="O7" t="s">
        <v>0</v>
      </c>
      <c r="P7" t="s">
        <v>0</v>
      </c>
    </row>
    <row r="8" spans="1:20" ht="15" thickBot="1">
      <c r="B8" s="1" t="s">
        <v>368</v>
      </c>
      <c r="C8" s="109"/>
      <c r="D8" s="104" t="s">
        <v>342</v>
      </c>
      <c r="E8" s="498" t="s">
        <v>718</v>
      </c>
      <c r="F8" s="109"/>
      <c r="G8" s="498" t="s">
        <v>719</v>
      </c>
      <c r="H8"/>
      <c r="I8"/>
      <c r="J8"/>
      <c r="K8"/>
      <c r="L8"/>
      <c r="M8" t="s">
        <v>0</v>
      </c>
      <c r="N8" t="s">
        <v>0</v>
      </c>
      <c r="O8" s="111" t="s">
        <v>0</v>
      </c>
      <c r="P8" s="31" t="s">
        <v>0</v>
      </c>
    </row>
    <row r="9" spans="1:20" ht="15.75" hidden="1" customHeight="1" thickBot="1">
      <c r="B9" s="43" t="s">
        <v>368</v>
      </c>
      <c r="C9" s="110"/>
      <c r="D9" s="114" t="e">
        <f>'Output - Jobs vs Yr (BAU)'!X6/'Output - Jobs vs Yr (BAU)'!C6-1</f>
        <v>#DIV/0!</v>
      </c>
      <c r="E9" s="109"/>
      <c r="F9" s="109"/>
      <c r="G9" s="109"/>
      <c r="H9"/>
      <c r="I9"/>
      <c r="J9"/>
      <c r="K9"/>
      <c r="L9"/>
      <c r="M9"/>
      <c r="O9" s="102"/>
    </row>
    <row r="10" spans="1:20" ht="15.75" hidden="1" customHeight="1" thickBot="1">
      <c r="B10" s="93" t="s">
        <v>352</v>
      </c>
      <c r="C10" s="110"/>
      <c r="D10" s="43"/>
      <c r="E10" s="109"/>
      <c r="F10" s="109"/>
      <c r="G10" s="109"/>
      <c r="H10"/>
      <c r="I10"/>
      <c r="J10"/>
      <c r="K10"/>
      <c r="L10"/>
      <c r="M10"/>
      <c r="O10" s="102"/>
    </row>
    <row r="11" spans="1:20" ht="15" thickBot="1">
      <c r="B11" t="s">
        <v>380</v>
      </c>
      <c r="C11" s="524">
        <v>0.15</v>
      </c>
      <c r="D11" s="125">
        <f>'Output - Jobs vs Yr (BAU)'!N18/'Output -Jobs vs Yr'!N14</f>
        <v>8.987962293802465E-2</v>
      </c>
      <c r="E11" s="497">
        <f>(7.7/3)^(1/6)</f>
        <v>1.1701141873017888</v>
      </c>
      <c r="F11" s="109"/>
      <c r="G11" s="494">
        <f>(12.5/3)^(1/6)</f>
        <v>1.2685223586294079</v>
      </c>
      <c r="H11"/>
      <c r="I11"/>
      <c r="J11"/>
      <c r="K11"/>
      <c r="L11"/>
      <c r="M11" t="s">
        <v>0</v>
      </c>
      <c r="N11" t="s">
        <v>0</v>
      </c>
      <c r="O11" s="111" t="s">
        <v>0</v>
      </c>
      <c r="P11" s="31" t="s">
        <v>0</v>
      </c>
    </row>
    <row r="12" spans="1:20" ht="15" thickBot="1">
      <c r="B12" t="s">
        <v>381</v>
      </c>
      <c r="C12" s="524">
        <v>0.17</v>
      </c>
      <c r="D12" s="125">
        <f>'Output - Jobs vs Yr (BAU)'!X18/'Output -Jobs vs Yr'!X14</f>
        <v>8.6687559592355287E-2</v>
      </c>
      <c r="E12" s="497">
        <f>(D12/D11)^(1/10)</f>
        <v>0.99639044350542605</v>
      </c>
      <c r="F12" s="109"/>
      <c r="G12" s="495">
        <f>(C12/C11)^(1/10)</f>
        <v>1.0125949711793618</v>
      </c>
      <c r="H12"/>
      <c r="I12"/>
      <c r="J12"/>
      <c r="K12"/>
      <c r="L12"/>
      <c r="M12" t="s">
        <v>0</v>
      </c>
      <c r="N12" t="s">
        <v>0</v>
      </c>
      <c r="O12" s="111" t="s">
        <v>0</v>
      </c>
      <c r="P12" s="31" t="s">
        <v>0</v>
      </c>
    </row>
    <row r="13" spans="1:20" ht="15" thickBot="1">
      <c r="B13" t="s">
        <v>578</v>
      </c>
      <c r="C13" s="524">
        <v>0.2</v>
      </c>
      <c r="D13" s="172">
        <f>'Output - Jobs vs Yr (BAU)'!AH18/'Output -Jobs vs Yr'!AH14</f>
        <v>0.1032200044116544</v>
      </c>
      <c r="E13" s="497">
        <f>(D13/D12)^(1/10)</f>
        <v>1.0176084617770647</v>
      </c>
      <c r="F13" s="109"/>
      <c r="G13" s="496">
        <f>(C13/C12)^(1/10)</f>
        <v>1.0163846732974342</v>
      </c>
      <c r="H13"/>
      <c r="I13"/>
      <c r="J13"/>
      <c r="K13"/>
      <c r="L13"/>
      <c r="M13"/>
      <c r="O13" s="111"/>
      <c r="P13" s="31"/>
    </row>
    <row r="14" spans="1:20">
      <c r="B14" t="s">
        <v>579</v>
      </c>
      <c r="C14" s="246"/>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713</v>
      </c>
      <c r="O15" s="31" t="s">
        <v>713</v>
      </c>
      <c r="P15" s="31" t="s">
        <v>714</v>
      </c>
      <c r="Q15" t="s">
        <v>711</v>
      </c>
    </row>
    <row r="16" spans="1:20" ht="15" thickBot="1">
      <c r="B16" s="32" t="s">
        <v>363</v>
      </c>
      <c r="C16" s="106" t="s">
        <v>366</v>
      </c>
      <c r="D16" s="104" t="s">
        <v>535</v>
      </c>
      <c r="E16" s="104" t="s">
        <v>364</v>
      </c>
      <c r="F16" s="104" t="s">
        <v>359</v>
      </c>
      <c r="G16" s="104" t="s">
        <v>545</v>
      </c>
      <c r="H16" s="104" t="s">
        <v>364</v>
      </c>
      <c r="I16" s="104" t="s">
        <v>707</v>
      </c>
      <c r="J16" s="104" t="s">
        <v>706</v>
      </c>
      <c r="K16" s="104" t="s">
        <v>364</v>
      </c>
      <c r="L16" s="104"/>
      <c r="M16" s="44" t="s">
        <v>257</v>
      </c>
      <c r="N16" s="291">
        <v>2020</v>
      </c>
      <c r="O16" s="291">
        <v>2030</v>
      </c>
      <c r="P16" s="291">
        <v>2040</v>
      </c>
      <c r="Q16" s="198">
        <v>2031</v>
      </c>
    </row>
    <row r="17" spans="2:17" ht="15" thickBot="1">
      <c r="B17" t="s">
        <v>353</v>
      </c>
      <c r="C17" s="195">
        <f>D17*$C$11/$D$11</f>
        <v>3.262292451786869E-2</v>
      </c>
      <c r="D17" s="126">
        <f>'Output - Jobs vs Yr (BAU)'!N10/'Output -Jobs vs Yr'!$N$14</f>
        <v>1.9547574365344517E-2</v>
      </c>
      <c r="E17" s="105">
        <f t="shared" ref="E17:E23" si="0">IF($C$24&lt;&gt;0,C17/$C$24,0)</f>
        <v>0.21748616345245797</v>
      </c>
      <c r="F17" s="172">
        <f>C17*$C$12/$C$11</f>
        <v>3.6972647786917855E-2</v>
      </c>
      <c r="G17" s="105">
        <f>'Output - Jobs vs Yr (BAU)'!X10/'Output - Jobs vs Yr (BAU)'!X24</f>
        <v>2.2891584711829456E-2</v>
      </c>
      <c r="H17" s="105">
        <f t="shared" ref="H17:H23" si="1">G17/$G$24</f>
        <v>0.26407007615244943</v>
      </c>
      <c r="I17" s="172">
        <f>F17*$C$13/$C$12</f>
        <v>4.3497232690491591E-2</v>
      </c>
      <c r="J17" s="105">
        <f>'Output - Jobs vs Yr (BAU)'!AH10/'Output - Jobs vs Yr (BAU)'!AH24</f>
        <v>2.8554393231362322E-2</v>
      </c>
      <c r="K17" s="105">
        <f>J17/$J$24</f>
        <v>0.27663625534732239</v>
      </c>
      <c r="L17" s="105"/>
      <c r="M17" s="45" t="s">
        <v>259</v>
      </c>
      <c r="N17" s="86">
        <f>HLOOKUP(N16,'Output -Jobs vs Yr'!$H$175:$AH$184,9)</f>
        <v>443.33609206594701</v>
      </c>
      <c r="O17" s="86">
        <f>HLOOKUP(O16,'Output -Jobs vs Yr'!$H$175:$AH$184,9)</f>
        <v>648.80377523565403</v>
      </c>
      <c r="P17" s="86">
        <f>HLOOKUP(P16,'Output -Jobs vs Yr'!$H$175:$AH$184,9)</f>
        <v>785.14884381649244</v>
      </c>
      <c r="Q17" s="86">
        <f>HLOOKUP(Q16,'Output -Jobs vs Yr'!$H$175:$AH$184,9)</f>
        <v>652.37949850062432</v>
      </c>
    </row>
    <row r="18" spans="2:17" ht="15" thickBot="1">
      <c r="B18" s="4" t="s">
        <v>354</v>
      </c>
      <c r="C18" s="195">
        <f>D18*$C$11/$D$11</f>
        <v>1.5292243475797096E-7</v>
      </c>
      <c r="D18" s="126">
        <f>'Output - Jobs vs Yr (BAU)'!N15/'Output -Jobs vs Yr'!$N$14</f>
        <v>9.1630738498740713E-8</v>
      </c>
      <c r="E18" s="105">
        <f t="shared" si="0"/>
        <v>1.0194828983864733E-6</v>
      </c>
      <c r="F18" s="172">
        <f t="shared" ref="F18:F23" si="2">C18*$C$12/$C$11</f>
        <v>1.7331209272570043E-7</v>
      </c>
      <c r="G18" s="105">
        <f>'Output - Jobs vs Yr (BAU)'!X15/'Output - Jobs vs Yr (BAU)'!X24</f>
        <v>8.37453651977105E-8</v>
      </c>
      <c r="H18" s="105">
        <f t="shared" si="1"/>
        <v>9.6606002789077934E-7</v>
      </c>
      <c r="I18" s="172">
        <f t="shared" ref="I18:I24" si="3">F18*$C$13/$C$12</f>
        <v>2.0389657967729461E-7</v>
      </c>
      <c r="J18" s="105">
        <f>'Output - Jobs vs Yr (BAU)'!AH15/'Output - Jobs vs Yr (BAU)'!AH24</f>
        <v>7.9357724470209634E-8</v>
      </c>
      <c r="K18" s="105">
        <f t="shared" ref="K18:K24" si="4">J18/$J$24</f>
        <v>7.6882123015001926E-7</v>
      </c>
      <c r="L18" s="105"/>
      <c r="M18" s="46" t="s">
        <v>260</v>
      </c>
      <c r="N18" s="87">
        <f>HLOOKUP(N16,'Output -Jobs vs Yr'!$H$175:$AH$184,10)</f>
        <v>399.00203225665973</v>
      </c>
      <c r="O18" s="87">
        <f>HLOOKUP(O16,'Output -Jobs vs Yr'!$H$175:$AH$184,10)</f>
        <v>583.92283894381217</v>
      </c>
      <c r="P18" s="87">
        <f>HLOOKUP(P16,'Output -Jobs vs Yr'!$H$175:$AH$184,10)</f>
        <v>706.63326571444304</v>
      </c>
      <c r="Q18" s="87">
        <f>HLOOKUP(Q16,'Output -Jobs vs Yr'!$H$175:$AH$184,10)</f>
        <v>587.1409798403547</v>
      </c>
    </row>
    <row r="19" spans="2:17" ht="15" thickBot="1">
      <c r="B19" s="4" t="s">
        <v>355</v>
      </c>
      <c r="C19" s="195">
        <f>D19*$C$11/$D$11</f>
        <v>8.5033957318056486E-8</v>
      </c>
      <c r="D19" s="126">
        <f>'Output - Jobs vs Yr (BAU)'!N11/'Output -Jobs vs Yr'!$N$14</f>
        <v>5.0952133471166661E-8</v>
      </c>
      <c r="E19" s="105">
        <f t="shared" si="0"/>
        <v>5.6689304878704333E-7</v>
      </c>
      <c r="F19" s="172">
        <f t="shared" si="2"/>
        <v>9.6371818293797361E-8</v>
      </c>
      <c r="G19" s="105">
        <f>'Output - Jobs vs Yr (BAU)'!X11/'Output - Jobs vs Yr (BAU)'!X24</f>
        <v>9.8469642797502331E-8</v>
      </c>
      <c r="H19" s="105">
        <f t="shared" si="1"/>
        <v>1.1359146341145916E-6</v>
      </c>
      <c r="I19" s="172">
        <f t="shared" si="3"/>
        <v>1.1337860975740867E-7</v>
      </c>
      <c r="J19" s="105">
        <f>'Output - Jobs vs Yr (BAU)'!AH11/'Output - Jobs vs Yr (BAU)'!AH24</f>
        <v>1.550314252973387E-7</v>
      </c>
      <c r="K19" s="105">
        <f t="shared" si="4"/>
        <v>1.5019514723327839E-6</v>
      </c>
      <c r="L19" s="105"/>
      <c r="M19" s="46" t="s">
        <v>261</v>
      </c>
      <c r="N19" s="87">
        <f>HLOOKUP(N16,'Output -Jobs vs Yr'!$H$175:$AH$184,8)</f>
        <v>842.33812432260675</v>
      </c>
      <c r="O19" s="87">
        <f>HLOOKUP(O16,'Output -Jobs vs Yr'!$H$175:$AH$184,8)</f>
        <v>1232.7266141794644</v>
      </c>
      <c r="P19" s="87">
        <f>HLOOKUP(P16,'Output -Jobs vs Yr'!$H$175:$AH$184,8)</f>
        <v>1491.7821095309337</v>
      </c>
      <c r="Q19" s="87">
        <f>HLOOKUP(Q16,'Output -Jobs vs Yr'!$H$175:$AH$184,8)</f>
        <v>1239.520478340979</v>
      </c>
    </row>
    <row r="20" spans="2:17" ht="15" thickBot="1">
      <c r="B20" s="4" t="s">
        <v>51</v>
      </c>
      <c r="C20" s="195">
        <f>D20*$C$11/$D$11</f>
        <v>7.5995042106674696E-3</v>
      </c>
      <c r="D20" s="126">
        <f>'Output - Jobs vs Yr (BAU)'!N12/'Output -Jobs vs Yr'!$N$14</f>
        <v>4.5536038198048193E-3</v>
      </c>
      <c r="E20" s="105">
        <f t="shared" si="0"/>
        <v>5.0663361404449811E-2</v>
      </c>
      <c r="F20" s="172">
        <f t="shared" si="2"/>
        <v>8.6127714387564669E-3</v>
      </c>
      <c r="G20" s="105">
        <f>'Output - Jobs vs Yr (BAU)'!X12/'Output - Jobs vs Yr (BAU)'!X24</f>
        <v>3.3097529737810506E-3</v>
      </c>
      <c r="H20" s="105">
        <f t="shared" si="1"/>
        <v>3.8180262783664175E-2</v>
      </c>
      <c r="I20" s="172">
        <f t="shared" si="3"/>
        <v>1.0132672280889961E-2</v>
      </c>
      <c r="J20" s="105">
        <f>'Output - Jobs vs Yr (BAU)'!AH12/'Output - Jobs vs Yr (BAU)'!AH24</f>
        <v>3.1710090016878801E-3</v>
      </c>
      <c r="K20" s="105">
        <f t="shared" si="4"/>
        <v>3.0720878878144332E-2</v>
      </c>
      <c r="L20" s="105"/>
      <c r="M20" s="47" t="s">
        <v>459</v>
      </c>
      <c r="N20" s="88">
        <f>HLOOKUP(N16,'Output -Jobs vs Yr'!$H$175:$AH$188,11)-HLOOKUP(N16,'Output -Jobs vs Yr'!$H$175:$AH$188,14)</f>
        <v>1722.1442360098154</v>
      </c>
      <c r="O20" s="88">
        <f>HLOOKUP(O16,'Output -Jobs vs Yr'!$H$175:$AH$188,11)-HLOOKUP(O16,'Output -Jobs vs Yr'!$H$175:$AH$188,14)</f>
        <v>12635.513262120796</v>
      </c>
      <c r="P20" s="88">
        <f>HLOOKUP(P16,'Output -Jobs vs Yr'!$H$175:$AH$188,11)-HLOOKUP(P16,'Output -Jobs vs Yr'!$H$175:$AH$188,14)</f>
        <v>26199.7997730313</v>
      </c>
      <c r="Q20" s="88">
        <f>HLOOKUP(Q16,'Output -Jobs vs Yr'!$H$175:$AH$188,11)-HLOOKUP(Q16,'Output -Jobs vs Yr'!$H$175:$AH$188,14)</f>
        <v>13875.033740461775</v>
      </c>
    </row>
    <row r="21" spans="2:17" ht="15" thickBot="1">
      <c r="B21" t="s">
        <v>356</v>
      </c>
      <c r="C21" s="195">
        <f t="shared" ref="C21:C23" si="5">D21*$C$11/$D$11</f>
        <v>3.0584486951594193E-7</v>
      </c>
      <c r="D21" s="126">
        <f>'Output - Jobs vs Yr (BAU)'!N13/'Output -Jobs vs Yr'!$N$14</f>
        <v>1.8326147699748143E-7</v>
      </c>
      <c r="E21" s="105">
        <f t="shared" si="0"/>
        <v>2.0389657967729467E-6</v>
      </c>
      <c r="F21" s="172">
        <f t="shared" si="2"/>
        <v>3.4662418545140085E-7</v>
      </c>
      <c r="G21" s="105">
        <f>'Output - Jobs vs Yr (BAU)'!X13/'Output - Jobs vs Yr (BAU)'!X24</f>
        <v>1.67490730395421E-7</v>
      </c>
      <c r="H21" s="105">
        <f t="shared" si="1"/>
        <v>1.9321200557815587E-6</v>
      </c>
      <c r="I21" s="172">
        <f t="shared" si="3"/>
        <v>4.0779315935458922E-7</v>
      </c>
      <c r="J21" s="105">
        <f>'Output - Jobs vs Yr (BAU)'!AH13/'Output - Jobs vs Yr (BAU)'!AH24</f>
        <v>0</v>
      </c>
      <c r="K21" s="105">
        <f t="shared" si="4"/>
        <v>0</v>
      </c>
      <c r="L21" s="105"/>
      <c r="N21" s="160"/>
    </row>
    <row r="22" spans="2:17" ht="15" thickBot="1">
      <c r="B22" s="4" t="s">
        <v>357</v>
      </c>
      <c r="C22" s="195">
        <f t="shared" si="5"/>
        <v>1.5292243475797096E-7</v>
      </c>
      <c r="D22" s="126">
        <f>'Output - Jobs vs Yr (BAU)'!N14/'Output -Jobs vs Yr'!$N$14</f>
        <v>9.1630738498740713E-8</v>
      </c>
      <c r="E22" s="105">
        <f t="shared" si="0"/>
        <v>1.0194828983864733E-6</v>
      </c>
      <c r="F22" s="172">
        <f t="shared" si="2"/>
        <v>1.7331209272570043E-7</v>
      </c>
      <c r="G22" s="105">
        <f>'Output - Jobs vs Yr (BAU)'!X14/'Output - Jobs vs Yr (BAU)'!X24</f>
        <v>8.37453651977105E-8</v>
      </c>
      <c r="H22" s="105">
        <f t="shared" si="1"/>
        <v>9.6606002789077934E-7</v>
      </c>
      <c r="I22" s="172">
        <f t="shared" si="3"/>
        <v>2.0389657967729461E-7</v>
      </c>
      <c r="J22" s="105">
        <f>'Output - Jobs vs Yr (BAU)'!AH14/'Output - Jobs vs Yr (BAU)'!AH24</f>
        <v>7.9357724470209634E-8</v>
      </c>
      <c r="K22" s="105">
        <f t="shared" si="4"/>
        <v>7.6882123015001926E-7</v>
      </c>
      <c r="L22" s="105"/>
      <c r="O22" t="s">
        <v>0</v>
      </c>
    </row>
    <row r="23" spans="2:17" ht="15" thickBot="1">
      <c r="B23" t="s">
        <v>358</v>
      </c>
      <c r="C23" s="195">
        <f t="shared" si="5"/>
        <v>0.10977687454776747</v>
      </c>
      <c r="D23" s="126">
        <f>'Output - Jobs vs Yr (BAU)'!N16/'Output -Jobs vs Yr'!$N$14</f>
        <v>6.5778027277787837E-2</v>
      </c>
      <c r="E23" s="105">
        <f t="shared" si="0"/>
        <v>0.73184583031844996</v>
      </c>
      <c r="F23" s="172">
        <f t="shared" si="2"/>
        <v>0.12441379115413646</v>
      </c>
      <c r="G23" s="105">
        <f>'Output - Jobs vs Yr (BAU)'!X16/'Output - Jobs vs Yr (BAU)'!X24</f>
        <v>6.0485766676597205E-2</v>
      </c>
      <c r="H23" s="105">
        <f t="shared" si="1"/>
        <v>0.69774466090914067</v>
      </c>
      <c r="I23" s="172">
        <f t="shared" si="3"/>
        <v>0.14636916606368994</v>
      </c>
      <c r="J23" s="105">
        <f>'Output - Jobs vs Yr (BAU)'!AH16/'Output - Jobs vs Yr (BAU)'!AH24</f>
        <v>7.1494280240425312E-2</v>
      </c>
      <c r="K23" s="105">
        <f t="shared" si="4"/>
        <v>0.69263982618060072</v>
      </c>
      <c r="L23" s="105"/>
      <c r="M23" s="44"/>
      <c r="N23" s="197"/>
      <c r="O23" t="s">
        <v>0</v>
      </c>
    </row>
    <row r="24" spans="2:17">
      <c r="B24" s="108" t="s">
        <v>370</v>
      </c>
      <c r="C24" s="137">
        <f t="shared" ref="C24:H24" si="6">SUM(C17:C23)</f>
        <v>0.14999999999999997</v>
      </c>
      <c r="D24" s="205">
        <f t="shared" si="6"/>
        <v>8.987962293802465E-2</v>
      </c>
      <c r="E24" s="200">
        <f t="shared" si="6"/>
        <v>1</v>
      </c>
      <c r="F24" s="200">
        <f t="shared" si="6"/>
        <v>0.16999999999999998</v>
      </c>
      <c r="G24" s="200">
        <f t="shared" si="6"/>
        <v>8.6687537813311302E-2</v>
      </c>
      <c r="H24" s="105">
        <f t="shared" si="6"/>
        <v>1</v>
      </c>
      <c r="I24" s="172">
        <f t="shared" si="3"/>
        <v>0.19999999999999996</v>
      </c>
      <c r="J24" s="105">
        <f>SUM(J17:J23)</f>
        <v>0.10321999622034975</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15%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373</v>
      </c>
      <c r="C27" s="107"/>
      <c r="D27" s="200" t="s">
        <v>342</v>
      </c>
      <c r="E27" s="107"/>
      <c r="F27" s="98"/>
      <c r="G27" s="134" t="s">
        <v>0</v>
      </c>
      <c r="H27" s="135" t="s">
        <v>0</v>
      </c>
      <c r="I27" s="135"/>
      <c r="J27" s="135"/>
      <c r="K27" s="135"/>
      <c r="L27" s="135"/>
      <c r="M27"/>
    </row>
    <row r="28" spans="2:17" ht="15" thickBot="1">
      <c r="B28" t="s">
        <v>371</v>
      </c>
      <c r="C28" s="208">
        <f>D28</f>
        <v>0.74791191177786365</v>
      </c>
      <c r="D28" s="105">
        <f>('Output - Jobs vs Yr (BAU)'!N8+'Output - Jobs vs Yr (BAU)'!N7)/'Output -Jobs vs Yr'!N14</f>
        <v>0.74791191177786365</v>
      </c>
      <c r="E28" s="136" t="s">
        <v>0</v>
      </c>
      <c r="F28" s="98"/>
      <c r="G28" s="98" t="s">
        <v>0</v>
      </c>
      <c r="H28" s="135" t="s">
        <v>0</v>
      </c>
      <c r="I28" s="135"/>
      <c r="J28" s="135"/>
      <c r="K28" s="135"/>
      <c r="L28" s="135"/>
      <c r="M28"/>
    </row>
    <row r="29" spans="2:17" ht="15" thickBot="1">
      <c r="B29" t="s">
        <v>372</v>
      </c>
      <c r="C29" s="278">
        <f>D29</f>
        <v>0.69046398306280732</v>
      </c>
      <c r="D29" s="105">
        <f>('Output - Jobs vs Yr (BAU)'!X8+'Output - Jobs vs Yr (BAU)'!X7)/'Output -Jobs vs Yr'!X14</f>
        <v>0.69046398306280732</v>
      </c>
      <c r="E29" s="107"/>
      <c r="F29" s="98"/>
      <c r="G29" s="96"/>
      <c r="H29"/>
      <c r="I29"/>
      <c r="J29"/>
      <c r="K29"/>
      <c r="L29"/>
    </row>
    <row r="30" spans="2:17" ht="15" thickBot="1">
      <c r="B30" t="s">
        <v>580</v>
      </c>
      <c r="C30" s="210">
        <f>D30</f>
        <v>0.65891418316054906</v>
      </c>
      <c r="D30" s="105">
        <f>('Output - Jobs vs Yr (BAU)'!AH8+'Output - Jobs vs Yr (BAU)'!AH7)/'Output -Jobs vs Yr'!AH14</f>
        <v>0.65891418316054906</v>
      </c>
      <c r="E30" s="107"/>
      <c r="F30" s="98"/>
      <c r="G30" s="96"/>
      <c r="H30"/>
      <c r="I30"/>
      <c r="J30"/>
      <c r="K30"/>
      <c r="L30"/>
    </row>
    <row r="31" spans="2:17">
      <c r="B31" t="s">
        <v>581</v>
      </c>
      <c r="C31" s="246"/>
      <c r="D31" s="105"/>
      <c r="E31" s="107"/>
      <c r="F31" s="98"/>
      <c r="G31" s="96"/>
      <c r="H31"/>
      <c r="I31"/>
      <c r="J31"/>
      <c r="K31"/>
      <c r="L31"/>
    </row>
    <row r="32" spans="2:17">
      <c r="B32" s="108"/>
      <c r="C32" s="107" t="s">
        <v>0</v>
      </c>
      <c r="D32" s="107"/>
      <c r="E32" s="107"/>
      <c r="F32" s="98"/>
      <c r="G32" s="96"/>
      <c r="H32"/>
      <c r="I32"/>
      <c r="J32"/>
      <c r="K32"/>
      <c r="L32"/>
    </row>
    <row r="33" spans="1:18" ht="15" thickBot="1">
      <c r="B33" s="108" t="s">
        <v>374</v>
      </c>
      <c r="C33" s="107"/>
      <c r="D33" s="200" t="s">
        <v>342</v>
      </c>
      <c r="E33" s="200" t="s">
        <v>537</v>
      </c>
      <c r="F33" s="201" t="s">
        <v>359</v>
      </c>
      <c r="G33" s="202" t="s">
        <v>342</v>
      </c>
      <c r="H33" s="201" t="s">
        <v>707</v>
      </c>
      <c r="I33" s="202" t="s">
        <v>342</v>
      </c>
      <c r="J33" s="163"/>
      <c r="K33" s="163"/>
      <c r="L33" s="163"/>
      <c r="M33" s="7" t="s">
        <v>0</v>
      </c>
    </row>
    <row r="34" spans="1:18" ht="15" thickBot="1">
      <c r="B34" s="4" t="s">
        <v>367</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0.67291414070366984</v>
      </c>
      <c r="D35" s="105">
        <f>'Output - Jobs vs Yr (BAU)'!N7/'Output -Jobs vs Yr'!N14</f>
        <v>0.67291414070366984</v>
      </c>
      <c r="E35" s="203">
        <f>C35</f>
        <v>0.67291414070366984</v>
      </c>
      <c r="F35" s="200">
        <f>C35*$C$29/$C$28</f>
        <v>0.62122687248700925</v>
      </c>
      <c r="G35" s="204">
        <f>'Output - Jobs vs Yr (BAU)'!X7/'Output - Jobs vs Yr (BAU)'!X24</f>
        <v>0.62192004545343094</v>
      </c>
      <c r="H35" s="200">
        <f>F35*$C$30/$C$29</f>
        <v>0.59284076690923582</v>
      </c>
      <c r="I35" s="204">
        <f>'Output - Jobs vs Yr (BAU)'!AH7/'Output - Jobs vs Yr (BAU)'!AH24</f>
        <v>0.59396155545437346</v>
      </c>
      <c r="J35"/>
      <c r="K35"/>
      <c r="L35"/>
    </row>
    <row r="36" spans="1:18" ht="15" thickBot="1">
      <c r="B36" s="4" t="s">
        <v>365</v>
      </c>
      <c r="C36" s="209">
        <f>D36</f>
        <v>7.4997771074193836E-2</v>
      </c>
      <c r="D36" s="105">
        <f>'Output - Jobs vs Yr (BAU)'!N8/'Output -Jobs vs Yr'!N14</f>
        <v>7.4997771074193836E-2</v>
      </c>
      <c r="E36" s="203">
        <f>C36</f>
        <v>7.4997771074193836E-2</v>
      </c>
      <c r="F36" s="200">
        <f>C36*$C$29/$C$28</f>
        <v>6.9237110575798066E-2</v>
      </c>
      <c r="G36" s="204">
        <f>'Output - Jobs vs Yr (BAU)'!X8/'Output - Jobs vs Yr (BAU)'!X24</f>
        <v>6.854376413990125E-2</v>
      </c>
      <c r="H36" s="200">
        <f>F36*$C$30/$C$29</f>
        <v>6.6073416251313286E-2</v>
      </c>
      <c r="I36" s="204">
        <f>'Output - Jobs vs Yr (BAU)'!AH8/'Output - Jobs vs Yr (BAU)'!AH24</f>
        <v>6.4952575416245578E-2</v>
      </c>
      <c r="J36"/>
      <c r="K36"/>
      <c r="L36"/>
    </row>
    <row r="37" spans="1:18">
      <c r="B37" s="4" t="s">
        <v>369</v>
      </c>
      <c r="C37" s="138">
        <f>SUM(C35:C36)+'Output -Jobs vs Yr'!N30/'Output -Jobs vs Yr'!N49</f>
        <v>0.74791191177786365</v>
      </c>
      <c r="D37" s="105">
        <f>SUM(D34:D36)</f>
        <v>0.74791191177786365</v>
      </c>
      <c r="E37" s="203">
        <f>SUM(E34:E36)</f>
        <v>0.74791191177786365</v>
      </c>
      <c r="F37" s="203">
        <f>SUM(F34:F36)</f>
        <v>0.69046398306280732</v>
      </c>
      <c r="G37" s="203">
        <f>SUM(G34:G36)</f>
        <v>0.6904638095933322</v>
      </c>
      <c r="H37" s="200">
        <f>C37*$C$30/$C$28</f>
        <v>0.65891418316054906</v>
      </c>
      <c r="I37" s="203">
        <f>SUM(I34:I36)</f>
        <v>0.65891413087061901</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74,8%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376</v>
      </c>
      <c r="C40" s="105">
        <f>C24</f>
        <v>0.14999999999999997</v>
      </c>
      <c r="D40" s="105" t="s">
        <v>0</v>
      </c>
      <c r="E40" s="105" t="s">
        <v>0</v>
      </c>
      <c r="F40" s="105" t="s">
        <v>0</v>
      </c>
      <c r="G40" s="103" t="s">
        <v>0</v>
      </c>
      <c r="H40"/>
      <c r="I40"/>
      <c r="J40"/>
      <c r="K40"/>
      <c r="L40"/>
    </row>
    <row r="41" spans="1:18">
      <c r="B41" s="4" t="s">
        <v>375</v>
      </c>
      <c r="C41" s="105">
        <f>C24+C37</f>
        <v>0.89791191177786356</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523</v>
      </c>
      <c r="F44" s="28"/>
      <c r="G44" s="1"/>
      <c r="H44" s="49">
        <v>9</v>
      </c>
      <c r="I44" s="277"/>
      <c r="J44" s="277"/>
      <c r="K44" s="277"/>
      <c r="L44"/>
      <c r="M44" s="12">
        <f t="shared" ref="M44:M61" si="7">C44+H44*C44</f>
        <v>0.37999999999999995</v>
      </c>
      <c r="N44" s="28" t="s">
        <v>523</v>
      </c>
    </row>
    <row r="45" spans="1:18" ht="15.75" hidden="1" customHeight="1" thickBot="1">
      <c r="B45" s="4" t="s">
        <v>210</v>
      </c>
      <c r="C45" s="41" t="e">
        <f>0.1*#REF!</f>
        <v>#REF!</v>
      </c>
      <c r="D45" s="4"/>
      <c r="E45" s="28" t="s">
        <v>206</v>
      </c>
      <c r="F45" s="28"/>
      <c r="G45" s="110"/>
      <c r="H45" s="49">
        <v>9</v>
      </c>
      <c r="I45" s="277"/>
      <c r="J45" s="277"/>
      <c r="K45" s="277"/>
      <c r="L45"/>
      <c r="M45" s="12" t="e">
        <f t="shared" si="7"/>
        <v>#REF!</v>
      </c>
      <c r="N45" s="28" t="s">
        <v>523</v>
      </c>
    </row>
    <row r="46" spans="1:18" s="1" customFormat="1" ht="15" thickBot="1">
      <c r="A46"/>
      <c r="B46" s="4" t="s">
        <v>121</v>
      </c>
      <c r="C46" s="84">
        <v>0.21</v>
      </c>
      <c r="D46" s="4" t="s">
        <v>0</v>
      </c>
      <c r="E46" s="28" t="s">
        <v>524</v>
      </c>
      <c r="F46" s="28"/>
      <c r="H46" s="49">
        <v>0.9</v>
      </c>
      <c r="I46" s="277"/>
      <c r="J46" s="277"/>
      <c r="K46" s="277"/>
      <c r="L46"/>
      <c r="M46" s="12">
        <f t="shared" si="7"/>
        <v>0.39900000000000002</v>
      </c>
      <c r="N46" s="28" t="s">
        <v>524</v>
      </c>
      <c r="O46"/>
      <c r="P46"/>
      <c r="Q46"/>
      <c r="R46"/>
    </row>
    <row r="47" spans="1:18" s="1" customFormat="1" ht="15" thickBot="1">
      <c r="A47"/>
      <c r="B47" s="4" t="s">
        <v>118</v>
      </c>
      <c r="C47" s="42">
        <v>0.18</v>
      </c>
      <c r="D47" s="4"/>
      <c r="E47" s="28" t="s">
        <v>524</v>
      </c>
      <c r="F47" s="28"/>
      <c r="H47" s="49">
        <v>0.9</v>
      </c>
      <c r="I47" s="277"/>
      <c r="J47" s="277"/>
      <c r="K47" s="277"/>
      <c r="L47"/>
      <c r="M47" s="12">
        <f t="shared" si="7"/>
        <v>0.34199999999999997</v>
      </c>
      <c r="N47" s="28" t="s">
        <v>524</v>
      </c>
      <c r="O47"/>
      <c r="P47"/>
      <c r="Q47"/>
    </row>
    <row r="48" spans="1:18" ht="15" thickBot="1">
      <c r="B48" s="4" t="s">
        <v>49</v>
      </c>
      <c r="C48" s="42">
        <v>0.15</v>
      </c>
      <c r="D48" s="4"/>
      <c r="E48" s="28" t="s">
        <v>524</v>
      </c>
      <c r="F48" s="28"/>
      <c r="G48" s="1"/>
      <c r="H48" s="49">
        <v>0.9</v>
      </c>
      <c r="I48" s="277"/>
      <c r="J48" s="277"/>
      <c r="K48" s="277"/>
      <c r="L48"/>
      <c r="M48" s="12">
        <f t="shared" si="7"/>
        <v>0.28500000000000003</v>
      </c>
      <c r="N48" s="28" t="s">
        <v>524</v>
      </c>
    </row>
    <row r="49" spans="1:17" s="1" customFormat="1" ht="15" thickBot="1">
      <c r="A49"/>
      <c r="B49" s="4" t="s">
        <v>50</v>
      </c>
      <c r="C49" s="42">
        <v>0.25</v>
      </c>
      <c r="D49" s="4" t="s">
        <v>0</v>
      </c>
      <c r="E49" s="28" t="s">
        <v>524</v>
      </c>
      <c r="F49" s="28"/>
      <c r="H49" s="49">
        <v>0.9</v>
      </c>
      <c r="I49" s="277"/>
      <c r="J49" s="277"/>
      <c r="K49" s="277"/>
      <c r="L49"/>
      <c r="M49" s="12">
        <f t="shared" si="7"/>
        <v>0.47499999999999998</v>
      </c>
      <c r="N49" s="28" t="s">
        <v>524</v>
      </c>
      <c r="O49" t="s">
        <v>0</v>
      </c>
      <c r="P49"/>
      <c r="Q49"/>
    </row>
    <row r="50" spans="1:17" s="1" customFormat="1" ht="15.75" hidden="1" customHeight="1" thickBot="1">
      <c r="A50"/>
      <c r="B50" s="4" t="s">
        <v>119</v>
      </c>
      <c r="C50" s="42">
        <v>0.11</v>
      </c>
      <c r="D50" s="4"/>
      <c r="E50" s="28" t="s">
        <v>524</v>
      </c>
      <c r="F50" s="28"/>
      <c r="G50" s="110"/>
      <c r="H50" s="49">
        <v>0.8</v>
      </c>
      <c r="I50" s="277"/>
      <c r="J50" s="277"/>
      <c r="K50" s="277"/>
      <c r="L50"/>
      <c r="M50" s="12">
        <f t="shared" si="7"/>
        <v>0.19800000000000001</v>
      </c>
      <c r="N50" s="28" t="s">
        <v>524</v>
      </c>
      <c r="O50" t="s">
        <v>0</v>
      </c>
      <c r="P50"/>
      <c r="Q50"/>
    </row>
    <row r="51" spans="1:17" s="1" customFormat="1" ht="15" thickBot="1">
      <c r="A51"/>
      <c r="B51" s="4" t="s">
        <v>343</v>
      </c>
      <c r="C51" s="42">
        <v>0.27</v>
      </c>
      <c r="D51" s="4"/>
      <c r="E51" s="28" t="s">
        <v>524</v>
      </c>
      <c r="F51" s="28"/>
      <c r="G51" s="110"/>
      <c r="H51" s="49">
        <v>0.9</v>
      </c>
      <c r="I51" s="277"/>
      <c r="J51" s="277"/>
      <c r="K51" s="277"/>
      <c r="L51"/>
      <c r="M51" s="12">
        <f t="shared" si="7"/>
        <v>0.51300000000000001</v>
      </c>
      <c r="N51" s="28" t="s">
        <v>524</v>
      </c>
      <c r="O51" t="s">
        <v>0</v>
      </c>
      <c r="P51"/>
      <c r="Q51"/>
    </row>
    <row r="52" spans="1:17" s="1" customFormat="1" ht="15" thickBot="1">
      <c r="A52"/>
      <c r="B52" s="4" t="s">
        <v>51</v>
      </c>
      <c r="C52" s="42">
        <v>0.15</v>
      </c>
      <c r="D52" s="4"/>
      <c r="E52" s="28" t="s">
        <v>524</v>
      </c>
      <c r="F52" s="28"/>
      <c r="G52" s="110"/>
      <c r="H52" s="49">
        <v>0.9</v>
      </c>
      <c r="I52" s="277"/>
      <c r="J52" s="277"/>
      <c r="K52" s="277"/>
      <c r="L52"/>
      <c r="M52" s="12">
        <f t="shared" si="7"/>
        <v>0.28500000000000003</v>
      </c>
      <c r="N52" s="28" t="s">
        <v>524</v>
      </c>
      <c r="O52" t="s">
        <v>0</v>
      </c>
      <c r="P52"/>
      <c r="Q52"/>
    </row>
    <row r="53" spans="1:17" ht="15" thickBot="1">
      <c r="B53" s="4" t="s">
        <v>59</v>
      </c>
      <c r="C53" s="42">
        <v>0.14000000000000001</v>
      </c>
      <c r="D53" s="4"/>
      <c r="E53" s="28" t="s">
        <v>524</v>
      </c>
      <c r="F53" s="28"/>
      <c r="G53" s="110"/>
      <c r="H53" s="49">
        <v>0.9</v>
      </c>
      <c r="I53" s="277"/>
      <c r="J53" s="277"/>
      <c r="K53" s="277"/>
      <c r="L53"/>
      <c r="M53" s="161">
        <f t="shared" si="7"/>
        <v>0.26600000000000001</v>
      </c>
      <c r="N53" s="28" t="s">
        <v>524</v>
      </c>
    </row>
    <row r="54" spans="1:17" ht="15" thickBot="1">
      <c r="B54" s="4" t="s">
        <v>347</v>
      </c>
      <c r="C54" s="84">
        <v>0.79</v>
      </c>
      <c r="D54" s="4" t="s">
        <v>0</v>
      </c>
      <c r="E54" s="28" t="s">
        <v>524</v>
      </c>
      <c r="F54" s="28"/>
      <c r="G54" s="110"/>
      <c r="H54" s="49">
        <v>0.9</v>
      </c>
      <c r="I54" s="277"/>
      <c r="J54" s="277"/>
      <c r="K54" s="277"/>
      <c r="L54"/>
      <c r="M54" s="12">
        <f t="shared" si="7"/>
        <v>1.5010000000000001</v>
      </c>
      <c r="N54" s="28" t="s">
        <v>524</v>
      </c>
    </row>
    <row r="55" spans="1:17" ht="15" thickBot="1">
      <c r="B55" s="4" t="s">
        <v>348</v>
      </c>
      <c r="C55" s="84">
        <v>0.23</v>
      </c>
      <c r="D55" s="4"/>
      <c r="E55" s="28" t="s">
        <v>524</v>
      </c>
      <c r="F55" s="28"/>
      <c r="G55" s="110"/>
      <c r="H55" s="49">
        <v>0.9</v>
      </c>
      <c r="I55" s="277"/>
      <c r="J55" s="277"/>
      <c r="K55" s="277"/>
      <c r="L55"/>
      <c r="M55" s="12">
        <f t="shared" si="7"/>
        <v>0.43700000000000006</v>
      </c>
      <c r="N55" s="28" t="s">
        <v>524</v>
      </c>
    </row>
    <row r="56" spans="1:17" ht="15.75" hidden="1" customHeight="1" thickBot="1">
      <c r="B56" s="4" t="s">
        <v>120</v>
      </c>
      <c r="C56" s="42">
        <v>0.11</v>
      </c>
      <c r="D56" s="4"/>
      <c r="E56" s="28" t="s">
        <v>524</v>
      </c>
      <c r="F56" s="28"/>
      <c r="G56" s="110"/>
      <c r="H56" s="49">
        <v>0.8</v>
      </c>
      <c r="I56" s="277"/>
      <c r="J56" s="277"/>
      <c r="K56" s="277"/>
      <c r="L56"/>
      <c r="M56" s="12">
        <f t="shared" si="7"/>
        <v>0.19800000000000001</v>
      </c>
      <c r="N56" s="28"/>
    </row>
    <row r="57" spans="1:17" ht="15" thickBot="1">
      <c r="B57" s="4" t="s">
        <v>53</v>
      </c>
      <c r="C57" s="84">
        <v>0.17</v>
      </c>
      <c r="D57" s="4" t="s">
        <v>0</v>
      </c>
      <c r="E57" s="28" t="s">
        <v>524</v>
      </c>
      <c r="F57" s="28"/>
      <c r="G57" s="110"/>
      <c r="H57" s="49">
        <v>0.9</v>
      </c>
      <c r="I57" s="277"/>
      <c r="J57" s="277"/>
      <c r="K57" s="277"/>
      <c r="L57"/>
      <c r="M57" s="12">
        <f t="shared" si="7"/>
        <v>0.32300000000000006</v>
      </c>
      <c r="N57" s="28" t="s">
        <v>524</v>
      </c>
    </row>
    <row r="58" spans="1:17" ht="15.75" hidden="1" customHeight="1" thickBot="1">
      <c r="B58" s="4" t="s">
        <v>191</v>
      </c>
      <c r="C58" s="41" t="e">
        <f xml:space="preserve"> 0.693 *#REF!</f>
        <v>#REF!</v>
      </c>
      <c r="D58" s="4"/>
      <c r="E58" s="28" t="s">
        <v>206</v>
      </c>
      <c r="F58" s="28"/>
      <c r="G58" s="110"/>
      <c r="H58" s="49">
        <v>0.8</v>
      </c>
      <c r="I58" s="277"/>
      <c r="J58" s="277"/>
      <c r="K58" s="277"/>
      <c r="L58"/>
      <c r="M58" s="12" t="e">
        <f t="shared" si="7"/>
        <v>#REF!</v>
      </c>
      <c r="N58" s="28" t="s">
        <v>524</v>
      </c>
    </row>
    <row r="59" spans="1:17" ht="15.75" hidden="1" customHeight="1" thickBot="1">
      <c r="B59" s="4" t="s">
        <v>246</v>
      </c>
      <c r="C59" s="49" t="e">
        <f xml:space="preserve"> (1/6) *#REF!</f>
        <v>#REF!</v>
      </c>
      <c r="D59" s="4"/>
      <c r="E59" s="28" t="s">
        <v>247</v>
      </c>
      <c r="F59" s="28"/>
      <c r="G59" s="110"/>
      <c r="H59" s="49">
        <v>0.8</v>
      </c>
      <c r="I59" s="277"/>
      <c r="J59" s="277"/>
      <c r="K59" s="277"/>
      <c r="L59"/>
      <c r="M59" s="12" t="e">
        <f t="shared" si="7"/>
        <v>#REF!</v>
      </c>
      <c r="N59" s="28" t="s">
        <v>206</v>
      </c>
    </row>
    <row r="60" spans="1:17" ht="15" thickBot="1">
      <c r="B60" s="4" t="s">
        <v>68</v>
      </c>
      <c r="C60" s="42">
        <v>0.11</v>
      </c>
      <c r="D60" s="4"/>
      <c r="E60" s="28" t="s">
        <v>524</v>
      </c>
      <c r="F60" s="28"/>
      <c r="G60" s="110"/>
      <c r="H60" s="49">
        <v>0.9</v>
      </c>
      <c r="I60" s="277"/>
      <c r="J60" s="277"/>
      <c r="K60" s="277"/>
      <c r="L60"/>
      <c r="M60" s="161">
        <f t="shared" si="7"/>
        <v>0.20900000000000002</v>
      </c>
      <c r="N60" s="28" t="s">
        <v>524</v>
      </c>
    </row>
    <row r="61" spans="1:17" ht="15" thickBot="1">
      <c r="B61" s="4" t="s">
        <v>76</v>
      </c>
      <c r="C61" s="42">
        <v>0.11</v>
      </c>
      <c r="D61" s="4"/>
      <c r="E61" s="28" t="s">
        <v>524</v>
      </c>
      <c r="F61" s="28"/>
      <c r="G61" s="110"/>
      <c r="H61" s="49">
        <v>0.9</v>
      </c>
      <c r="I61" s="277"/>
      <c r="J61" s="277"/>
      <c r="K61" s="277"/>
      <c r="L61"/>
      <c r="M61" s="12">
        <f t="shared" si="7"/>
        <v>0.20900000000000002</v>
      </c>
      <c r="N61" s="28" t="s">
        <v>524</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4"/>
    <col min="6" max="6" width="12.5" style="345"/>
    <col min="7" max="37" width="12.5" style="299"/>
    <col min="38" max="16384" width="12.5" style="5"/>
  </cols>
  <sheetData>
    <row r="1" spans="1:37">
      <c r="A1" s="272" t="s">
        <v>705</v>
      </c>
    </row>
    <row r="2" spans="1:37">
      <c r="A2" s="272" t="s">
        <v>657</v>
      </c>
    </row>
    <row r="3" spans="1:37">
      <c r="A3" s="272" t="s">
        <v>658</v>
      </c>
    </row>
    <row r="5" spans="1:37">
      <c r="A5" s="6" t="s">
        <v>185</v>
      </c>
    </row>
    <row r="6" spans="1:37">
      <c r="A6" s="6" t="s">
        <v>184</v>
      </c>
    </row>
    <row r="9" spans="1:37">
      <c r="AK9" s="300" t="s">
        <v>715</v>
      </c>
    </row>
    <row r="10" spans="1:37">
      <c r="B10" s="346" t="s">
        <v>7</v>
      </c>
      <c r="C10" s="346" t="s">
        <v>8</v>
      </c>
      <c r="D10" s="346" t="s">
        <v>9</v>
      </c>
      <c r="E10" s="346" t="s">
        <v>10</v>
      </c>
      <c r="F10" s="347" t="s">
        <v>11</v>
      </c>
      <c r="G10" s="300" t="s">
        <v>12</v>
      </c>
      <c r="H10" s="300" t="s">
        <v>13</v>
      </c>
      <c r="I10" s="300" t="s">
        <v>14</v>
      </c>
      <c r="J10" s="300" t="s">
        <v>15</v>
      </c>
      <c r="K10" s="300" t="s">
        <v>16</v>
      </c>
      <c r="L10" s="300" t="s">
        <v>17</v>
      </c>
      <c r="M10" s="300" t="s">
        <v>18</v>
      </c>
      <c r="N10" s="300" t="s">
        <v>19</v>
      </c>
      <c r="O10" s="300" t="s">
        <v>20</v>
      </c>
      <c r="P10" s="300" t="s">
        <v>21</v>
      </c>
      <c r="Q10" s="300" t="s">
        <v>22</v>
      </c>
      <c r="R10" s="300" t="s">
        <v>23</v>
      </c>
      <c r="S10" s="300" t="s">
        <v>24</v>
      </c>
      <c r="T10" s="300" t="s">
        <v>25</v>
      </c>
      <c r="U10" s="300" t="s">
        <v>26</v>
      </c>
      <c r="V10" s="300" t="s">
        <v>27</v>
      </c>
      <c r="W10" s="300" t="s">
        <v>28</v>
      </c>
      <c r="X10" s="300" t="s">
        <v>29</v>
      </c>
      <c r="Y10" s="300" t="s">
        <v>30</v>
      </c>
      <c r="Z10" s="300" t="s">
        <v>31</v>
      </c>
      <c r="AA10" s="300" t="s">
        <v>582</v>
      </c>
      <c r="AB10" s="300" t="s">
        <v>583</v>
      </c>
      <c r="AC10" s="300" t="s">
        <v>584</v>
      </c>
      <c r="AD10" s="300" t="s">
        <v>585</v>
      </c>
      <c r="AE10" s="300" t="s">
        <v>586</v>
      </c>
      <c r="AF10" s="300" t="s">
        <v>587</v>
      </c>
      <c r="AG10" s="300" t="s">
        <v>588</v>
      </c>
      <c r="AH10" s="300" t="s">
        <v>589</v>
      </c>
      <c r="AI10" s="300" t="s">
        <v>590</v>
      </c>
      <c r="AJ10" s="300" t="s">
        <v>591</v>
      </c>
      <c r="AK10" s="300">
        <v>2040</v>
      </c>
    </row>
    <row r="13" spans="1:37">
      <c r="A13" s="6" t="s">
        <v>183</v>
      </c>
    </row>
    <row r="14" spans="1:37">
      <c r="A14" s="6" t="s">
        <v>182</v>
      </c>
      <c r="B14" s="348">
        <v>5.1020002365112296</v>
      </c>
      <c r="C14" s="348">
        <v>5.0669999122619602</v>
      </c>
      <c r="D14" s="348">
        <v>4.9539995193481401</v>
      </c>
      <c r="E14" s="348">
        <v>5.3799490928649902</v>
      </c>
      <c r="F14" s="349">
        <v>5.6095256805419904</v>
      </c>
      <c r="G14" s="293">
        <v>5.6580000000000004</v>
      </c>
      <c r="H14" s="293">
        <v>6.4939989999999996</v>
      </c>
      <c r="I14" s="293">
        <v>7.7220000000000004</v>
      </c>
      <c r="J14" s="293">
        <v>8.5288000000000004</v>
      </c>
      <c r="K14" s="293">
        <v>9.0378019999999992</v>
      </c>
      <c r="L14" s="293">
        <v>9.5417810000000003</v>
      </c>
      <c r="M14" s="293">
        <v>9.5568039999999996</v>
      </c>
      <c r="N14" s="293">
        <v>9.5754859999999997</v>
      </c>
      <c r="O14" s="293">
        <v>9.6082459999999994</v>
      </c>
      <c r="P14" s="293">
        <v>9.5525409999999997</v>
      </c>
      <c r="Q14" s="293">
        <v>9.4165030000000005</v>
      </c>
      <c r="R14" s="293">
        <v>9.2888249999999992</v>
      </c>
      <c r="S14" s="293">
        <v>9.1907350000000001</v>
      </c>
      <c r="T14" s="293">
        <v>9.0728480000000005</v>
      </c>
      <c r="U14" s="293">
        <v>9.0041829999999994</v>
      </c>
      <c r="V14" s="293">
        <v>8.8329439999999995</v>
      </c>
      <c r="W14" s="293">
        <v>8.6696600000000004</v>
      </c>
      <c r="X14" s="293">
        <v>8.5159219999999998</v>
      </c>
      <c r="Y14" s="293">
        <v>8.3804160000000003</v>
      </c>
      <c r="Z14" s="293">
        <v>8.3047140000000006</v>
      </c>
      <c r="AA14" s="293">
        <v>8.1595440000000004</v>
      </c>
      <c r="AB14" s="293">
        <v>8.0727349999999998</v>
      </c>
      <c r="AC14" s="293">
        <v>8.0446790000000004</v>
      </c>
      <c r="AD14" s="293">
        <v>7.984591</v>
      </c>
      <c r="AE14" s="293">
        <v>7.8722690000000002</v>
      </c>
      <c r="AF14" s="293">
        <v>7.7546290000000004</v>
      </c>
      <c r="AG14" s="293">
        <v>7.6994870000000004</v>
      </c>
      <c r="AH14" s="293">
        <v>7.5588430000000004</v>
      </c>
      <c r="AI14" s="293">
        <v>7.5302829999999998</v>
      </c>
      <c r="AJ14" s="293">
        <v>7.4801669999999998</v>
      </c>
      <c r="AK14" s="294">
        <v>5.0000000000000001E-3</v>
      </c>
    </row>
    <row r="15" spans="1:37">
      <c r="A15" s="6" t="s">
        <v>181</v>
      </c>
      <c r="B15" s="348">
        <v>0.74099999666214</v>
      </c>
      <c r="C15" s="348">
        <v>0.71899998188018799</v>
      </c>
      <c r="D15" s="348">
        <v>0.68000000715255704</v>
      </c>
      <c r="E15" s="348">
        <v>0.73478877544403098</v>
      </c>
      <c r="F15" s="349">
        <v>0.68565064668655396</v>
      </c>
      <c r="G15" s="293">
        <v>0.57199999999999995</v>
      </c>
      <c r="H15" s="293">
        <v>0.53</v>
      </c>
      <c r="I15" s="293">
        <v>0.51</v>
      </c>
      <c r="J15" s="293">
        <v>0.4738</v>
      </c>
      <c r="K15" s="293">
        <v>0.462835</v>
      </c>
      <c r="L15" s="293">
        <v>0.46215800000000001</v>
      </c>
      <c r="M15" s="293">
        <v>0.46993800000000002</v>
      </c>
      <c r="N15" s="293">
        <v>0.47195500000000001</v>
      </c>
      <c r="O15" s="293">
        <v>0.45399899999999999</v>
      </c>
      <c r="P15" s="293">
        <v>0.43714199999999998</v>
      </c>
      <c r="Q15" s="293">
        <v>0.41283700000000001</v>
      </c>
      <c r="R15" s="293">
        <v>0.388714</v>
      </c>
      <c r="S15" s="293">
        <v>0.36631000000000002</v>
      </c>
      <c r="T15" s="293">
        <v>0.34568500000000002</v>
      </c>
      <c r="U15" s="293">
        <v>0.32666899999999999</v>
      </c>
      <c r="V15" s="293">
        <v>0.30766500000000002</v>
      </c>
      <c r="W15" s="293">
        <v>0.28877399999999998</v>
      </c>
      <c r="X15" s="293">
        <v>0.27134900000000001</v>
      </c>
      <c r="Y15" s="293">
        <v>0.25525500000000001</v>
      </c>
      <c r="Z15" s="293">
        <v>0.240371</v>
      </c>
      <c r="AA15" s="293">
        <v>0.22658700000000001</v>
      </c>
      <c r="AB15" s="293">
        <v>0.273065</v>
      </c>
      <c r="AC15" s="293">
        <v>0.34021099999999999</v>
      </c>
      <c r="AD15" s="293">
        <v>0.38843800000000001</v>
      </c>
      <c r="AE15" s="293">
        <v>0.378168</v>
      </c>
      <c r="AF15" s="293">
        <v>0.36859700000000001</v>
      </c>
      <c r="AG15" s="293">
        <v>0.35966500000000001</v>
      </c>
      <c r="AH15" s="293">
        <v>0.321691</v>
      </c>
      <c r="AI15" s="293">
        <v>0.28870200000000001</v>
      </c>
      <c r="AJ15" s="293">
        <v>0.25998700000000002</v>
      </c>
      <c r="AK15" s="294">
        <v>-2.5000000000000001E-2</v>
      </c>
    </row>
    <row r="16" spans="1:37">
      <c r="A16" s="6" t="s">
        <v>180</v>
      </c>
      <c r="B16" s="348">
        <v>4.3610000610351598</v>
      </c>
      <c r="C16" s="348">
        <v>4.34800004959106</v>
      </c>
      <c r="D16" s="348">
        <v>4.2739996910095197</v>
      </c>
      <c r="E16" s="348">
        <v>4.6451601982116699</v>
      </c>
      <c r="F16" s="349">
        <v>4.9238753318786603</v>
      </c>
      <c r="G16" s="293">
        <v>5.0860000000000003</v>
      </c>
      <c r="H16" s="293">
        <v>5.9640000000000004</v>
      </c>
      <c r="I16" s="293">
        <v>7.2119999999999997</v>
      </c>
      <c r="J16" s="293">
        <v>8.0549999999999997</v>
      </c>
      <c r="K16" s="293">
        <v>8.5749659999999999</v>
      </c>
      <c r="L16" s="293">
        <v>9.0796240000000008</v>
      </c>
      <c r="M16" s="293">
        <v>9.0868660000000006</v>
      </c>
      <c r="N16" s="293">
        <v>9.1035310000000003</v>
      </c>
      <c r="O16" s="293">
        <v>9.1542469999999998</v>
      </c>
      <c r="P16" s="293">
        <v>9.1153980000000008</v>
      </c>
      <c r="Q16" s="293">
        <v>9.0036670000000001</v>
      </c>
      <c r="R16" s="293">
        <v>8.9001110000000008</v>
      </c>
      <c r="S16" s="293">
        <v>8.8244249999999997</v>
      </c>
      <c r="T16" s="293">
        <v>8.7271629999999991</v>
      </c>
      <c r="U16" s="293">
        <v>8.6775140000000004</v>
      </c>
      <c r="V16" s="293">
        <v>8.5252789999999994</v>
      </c>
      <c r="W16" s="293">
        <v>8.3808860000000003</v>
      </c>
      <c r="X16" s="293">
        <v>8.2445730000000008</v>
      </c>
      <c r="Y16" s="293">
        <v>8.1251610000000003</v>
      </c>
      <c r="Z16" s="293">
        <v>8.0643429999999992</v>
      </c>
      <c r="AA16" s="293">
        <v>7.932957</v>
      </c>
      <c r="AB16" s="293">
        <v>7.7996699999999999</v>
      </c>
      <c r="AC16" s="293">
        <v>7.7044680000000003</v>
      </c>
      <c r="AD16" s="293">
        <v>7.5961540000000003</v>
      </c>
      <c r="AE16" s="293">
        <v>7.4941009999999997</v>
      </c>
      <c r="AF16" s="293">
        <v>7.3860330000000003</v>
      </c>
      <c r="AG16" s="293">
        <v>7.3398209999999997</v>
      </c>
      <c r="AH16" s="293">
        <v>7.2371509999999999</v>
      </c>
      <c r="AI16" s="293">
        <v>7.241581</v>
      </c>
      <c r="AJ16" s="293">
        <v>7.2201810000000002</v>
      </c>
      <c r="AK16" s="294">
        <v>7.0000000000000001E-3</v>
      </c>
    </row>
    <row r="17" spans="1:38">
      <c r="A17" s="6" t="s">
        <v>179</v>
      </c>
      <c r="B17" s="348">
        <v>10.093000411987299</v>
      </c>
      <c r="C17" s="348">
        <v>10.003999710083001</v>
      </c>
      <c r="D17" s="348">
        <v>9.7010002136230504</v>
      </c>
      <c r="E17" s="348">
        <v>8.9919996261596697</v>
      </c>
      <c r="F17" s="349">
        <v>8.3191394805908203</v>
      </c>
      <c r="G17" s="293">
        <v>8.8879999999999999</v>
      </c>
      <c r="H17" s="293">
        <v>8.4319989999999994</v>
      </c>
      <c r="I17" s="293">
        <v>7.3609999999999998</v>
      </c>
      <c r="J17" s="293">
        <v>6.452</v>
      </c>
      <c r="K17" s="293">
        <v>6.1656769999999996</v>
      </c>
      <c r="L17" s="293">
        <v>5.7677230000000002</v>
      </c>
      <c r="M17" s="293">
        <v>5.8143669999999998</v>
      </c>
      <c r="N17" s="293">
        <v>5.8087150000000003</v>
      </c>
      <c r="O17" s="293">
        <v>5.7589199999999998</v>
      </c>
      <c r="P17" s="293">
        <v>5.7870730000000004</v>
      </c>
      <c r="Q17" s="293">
        <v>5.8889449999999997</v>
      </c>
      <c r="R17" s="293">
        <v>5.9421790000000003</v>
      </c>
      <c r="S17" s="293">
        <v>5.9748789999999996</v>
      </c>
      <c r="T17" s="293">
        <v>6.0359290000000003</v>
      </c>
      <c r="U17" s="293">
        <v>6.0526869999999997</v>
      </c>
      <c r="V17" s="293">
        <v>6.1879960000000001</v>
      </c>
      <c r="W17" s="293">
        <v>6.3329610000000001</v>
      </c>
      <c r="X17" s="293">
        <v>6.455387</v>
      </c>
      <c r="Y17" s="293">
        <v>6.5668860000000002</v>
      </c>
      <c r="Z17" s="293">
        <v>6.635491</v>
      </c>
      <c r="AA17" s="293">
        <v>6.7795449999999997</v>
      </c>
      <c r="AB17" s="293">
        <v>6.8623289999999999</v>
      </c>
      <c r="AC17" s="293">
        <v>6.8977040000000001</v>
      </c>
      <c r="AD17" s="293">
        <v>6.9983430000000002</v>
      </c>
      <c r="AE17" s="293">
        <v>7.1493440000000001</v>
      </c>
      <c r="AF17" s="293">
        <v>7.303795</v>
      </c>
      <c r="AG17" s="293">
        <v>7.4063970000000001</v>
      </c>
      <c r="AH17" s="293">
        <v>7.6181229999999998</v>
      </c>
      <c r="AI17" s="293">
        <v>7.6624980000000003</v>
      </c>
      <c r="AJ17" s="293">
        <v>7.742801</v>
      </c>
      <c r="AK17" s="294">
        <v>-3.0000000000000001E-3</v>
      </c>
    </row>
    <row r="18" spans="1:38">
      <c r="A18" s="6" t="s">
        <v>178</v>
      </c>
      <c r="B18" s="348">
        <v>10.118000030517599</v>
      </c>
      <c r="C18" s="348">
        <v>10.0310001373291</v>
      </c>
      <c r="D18" s="348">
        <v>9.7280006408691406</v>
      </c>
      <c r="E18" s="348">
        <v>9.0190000534057599</v>
      </c>
      <c r="F18" s="349">
        <v>8.3490304946899396</v>
      </c>
      <c r="G18" s="293">
        <v>8.9350000000000005</v>
      </c>
      <c r="H18" s="293">
        <v>8.4920000000000009</v>
      </c>
      <c r="I18" s="293">
        <v>7.4809999999999999</v>
      </c>
      <c r="J18" s="293">
        <v>6.585</v>
      </c>
      <c r="K18" s="293">
        <v>6.3116139999999996</v>
      </c>
      <c r="L18" s="293">
        <v>5.9214209999999996</v>
      </c>
      <c r="M18" s="293">
        <v>5.9680070000000001</v>
      </c>
      <c r="N18" s="293">
        <v>5.9630130000000001</v>
      </c>
      <c r="O18" s="293">
        <v>5.9123679999999998</v>
      </c>
      <c r="P18" s="293">
        <v>5.9393659999999997</v>
      </c>
      <c r="Q18" s="293">
        <v>6.0361729999999998</v>
      </c>
      <c r="R18" s="293">
        <v>6.0801559999999997</v>
      </c>
      <c r="S18" s="293">
        <v>6.1090929999999997</v>
      </c>
      <c r="T18" s="293">
        <v>6.1684799999999997</v>
      </c>
      <c r="U18" s="293">
        <v>6.1836919999999997</v>
      </c>
      <c r="V18" s="293">
        <v>6.31792</v>
      </c>
      <c r="W18" s="293">
        <v>6.4623739999999996</v>
      </c>
      <c r="X18" s="293">
        <v>6.5838710000000003</v>
      </c>
      <c r="Y18" s="293">
        <v>6.6953279999999999</v>
      </c>
      <c r="Z18" s="293">
        <v>6.7654339999999999</v>
      </c>
      <c r="AA18" s="293">
        <v>6.9090009999999999</v>
      </c>
      <c r="AB18" s="293">
        <v>6.9898129999999998</v>
      </c>
      <c r="AC18" s="293">
        <v>7.0234620000000003</v>
      </c>
      <c r="AD18" s="293">
        <v>7.1230440000000002</v>
      </c>
      <c r="AE18" s="293">
        <v>7.2727890000000004</v>
      </c>
      <c r="AF18" s="293">
        <v>7.4277439999999997</v>
      </c>
      <c r="AG18" s="293">
        <v>7.5305350000000004</v>
      </c>
      <c r="AH18" s="293">
        <v>7.7422449999999996</v>
      </c>
      <c r="AI18" s="293">
        <v>7.7863189999999998</v>
      </c>
      <c r="AJ18" s="293">
        <v>7.866511</v>
      </c>
      <c r="AK18" s="294">
        <v>-3.0000000000000001E-3</v>
      </c>
    </row>
    <row r="19" spans="1:38">
      <c r="A19" s="6" t="s">
        <v>169</v>
      </c>
      <c r="B19" s="348">
        <v>2.5000000372528999E-2</v>
      </c>
      <c r="C19" s="348">
        <v>2.70000007003546E-2</v>
      </c>
      <c r="D19" s="348">
        <v>2.70000007003546E-2</v>
      </c>
      <c r="E19" s="348">
        <v>2.70000007003546E-2</v>
      </c>
      <c r="F19" s="349">
        <v>2.9890902340412102E-2</v>
      </c>
      <c r="G19" s="293">
        <v>4.7E-2</v>
      </c>
      <c r="H19" s="293">
        <v>0.06</v>
      </c>
      <c r="I19" s="293">
        <v>0.12</v>
      </c>
      <c r="J19" s="293">
        <v>0.13300000000000001</v>
      </c>
      <c r="K19" s="293">
        <v>0.14593700000000001</v>
      </c>
      <c r="L19" s="293">
        <v>0.153697</v>
      </c>
      <c r="M19" s="293">
        <v>0.15364</v>
      </c>
      <c r="N19" s="293">
        <v>0.15429799999999999</v>
      </c>
      <c r="O19" s="293">
        <v>0.153447</v>
      </c>
      <c r="P19" s="293">
        <v>0.15229300000000001</v>
      </c>
      <c r="Q19" s="293">
        <v>0.147228</v>
      </c>
      <c r="R19" s="293">
        <v>0.13797699999999999</v>
      </c>
      <c r="S19" s="293">
        <v>0.134215</v>
      </c>
      <c r="T19" s="293">
        <v>0.132551</v>
      </c>
      <c r="U19" s="293">
        <v>0.13100500000000001</v>
      </c>
      <c r="V19" s="293">
        <v>0.12992400000000001</v>
      </c>
      <c r="W19" s="293">
        <v>0.129414</v>
      </c>
      <c r="X19" s="293">
        <v>0.12848499999999999</v>
      </c>
      <c r="Y19" s="293">
        <v>0.128441</v>
      </c>
      <c r="Z19" s="293">
        <v>0.129943</v>
      </c>
      <c r="AA19" s="293">
        <v>0.12945599999999999</v>
      </c>
      <c r="AB19" s="293">
        <v>0.12748399999999999</v>
      </c>
      <c r="AC19" s="293">
        <v>0.12575900000000001</v>
      </c>
      <c r="AD19" s="293">
        <v>0.12470100000000001</v>
      </c>
      <c r="AE19" s="293">
        <v>0.123445</v>
      </c>
      <c r="AF19" s="293">
        <v>0.123949</v>
      </c>
      <c r="AG19" s="293">
        <v>0.124137</v>
      </c>
      <c r="AH19" s="293">
        <v>0.124122</v>
      </c>
      <c r="AI19" s="293">
        <v>0.123821</v>
      </c>
      <c r="AJ19" s="293">
        <v>0.12371</v>
      </c>
      <c r="AK19" s="294">
        <v>2.5999999999999999E-2</v>
      </c>
    </row>
    <row r="20" spans="1:38">
      <c r="A20" s="6" t="s">
        <v>177</v>
      </c>
      <c r="B20" s="348">
        <v>4.80000004172325E-2</v>
      </c>
      <c r="C20" s="348">
        <v>8.79999995231628E-2</v>
      </c>
      <c r="D20" s="348">
        <v>-2.9999997466802601E-2</v>
      </c>
      <c r="E20" s="348">
        <v>1.9999999552965199E-2</v>
      </c>
      <c r="F20" s="349">
        <v>0</v>
      </c>
      <c r="G20" s="293">
        <v>0.26600000000000001</v>
      </c>
      <c r="H20" s="293">
        <v>8.6999999999999994E-2</v>
      </c>
      <c r="I20" s="293">
        <v>0.23400000000000001</v>
      </c>
      <c r="J20" s="293">
        <v>0.161</v>
      </c>
      <c r="K20" s="293">
        <v>0</v>
      </c>
      <c r="L20" s="293">
        <v>0</v>
      </c>
      <c r="M20" s="293">
        <v>0</v>
      </c>
      <c r="N20" s="293">
        <v>0</v>
      </c>
      <c r="O20" s="293">
        <v>0</v>
      </c>
      <c r="P20" s="293">
        <v>0</v>
      </c>
      <c r="Q20" s="293">
        <v>0</v>
      </c>
      <c r="R20" s="293">
        <v>0</v>
      </c>
      <c r="S20" s="293">
        <v>0</v>
      </c>
      <c r="T20" s="293">
        <v>0</v>
      </c>
      <c r="U20" s="293">
        <v>0</v>
      </c>
      <c r="V20" s="293">
        <v>0</v>
      </c>
      <c r="W20" s="293">
        <v>0</v>
      </c>
      <c r="X20" s="293">
        <v>0</v>
      </c>
      <c r="Y20" s="293">
        <v>0</v>
      </c>
      <c r="Z20" s="293">
        <v>0</v>
      </c>
      <c r="AA20" s="293">
        <v>0</v>
      </c>
      <c r="AB20" s="293">
        <v>0</v>
      </c>
      <c r="AC20" s="293">
        <v>0</v>
      </c>
      <c r="AD20" s="293">
        <v>0</v>
      </c>
      <c r="AE20" s="293">
        <v>0</v>
      </c>
      <c r="AF20" s="293">
        <v>0</v>
      </c>
      <c r="AG20" s="293">
        <v>0</v>
      </c>
      <c r="AH20" s="293">
        <v>0</v>
      </c>
      <c r="AI20" s="293">
        <v>0</v>
      </c>
      <c r="AJ20" s="293">
        <v>0</v>
      </c>
      <c r="AK20" s="293" t="s">
        <v>41</v>
      </c>
    </row>
    <row r="21" spans="1:38">
      <c r="A21" s="6" t="s">
        <v>176</v>
      </c>
      <c r="B21" s="348">
        <v>15.2430009841919</v>
      </c>
      <c r="C21" s="348">
        <v>15.158999443054199</v>
      </c>
      <c r="D21" s="348">
        <v>14.625</v>
      </c>
      <c r="E21" s="348">
        <v>14.3919486999512</v>
      </c>
      <c r="F21" s="349">
        <v>13.9286651611328</v>
      </c>
      <c r="G21" s="248">
        <v>14.811999999999999</v>
      </c>
      <c r="H21" s="248">
        <v>15.012999000000001</v>
      </c>
      <c r="I21" s="248">
        <v>15.317</v>
      </c>
      <c r="J21" s="248">
        <v>15.141800999999999</v>
      </c>
      <c r="K21" s="248">
        <v>15.203478</v>
      </c>
      <c r="L21" s="248">
        <v>15.309505</v>
      </c>
      <c r="M21" s="248">
        <v>15.371171</v>
      </c>
      <c r="N21" s="248">
        <v>15.384200999999999</v>
      </c>
      <c r="O21" s="248">
        <v>15.367167</v>
      </c>
      <c r="P21" s="248">
        <v>15.339613999999999</v>
      </c>
      <c r="Q21" s="248">
        <v>15.305448999999999</v>
      </c>
      <c r="R21" s="248">
        <v>15.231005</v>
      </c>
      <c r="S21" s="248">
        <v>15.165613</v>
      </c>
      <c r="T21" s="248">
        <v>15.108777</v>
      </c>
      <c r="U21" s="248">
        <v>15.05687</v>
      </c>
      <c r="V21" s="248">
        <v>15.020941000000001</v>
      </c>
      <c r="W21" s="248">
        <v>15.002621</v>
      </c>
      <c r="X21" s="248">
        <v>14.971308000000001</v>
      </c>
      <c r="Y21" s="248">
        <v>14.947302000000001</v>
      </c>
      <c r="Z21" s="248">
        <v>14.940206</v>
      </c>
      <c r="AA21" s="248">
        <v>14.939088999999999</v>
      </c>
      <c r="AB21" s="248">
        <v>14.935063</v>
      </c>
      <c r="AC21" s="248">
        <v>14.942383</v>
      </c>
      <c r="AD21" s="248">
        <v>14.982934999999999</v>
      </c>
      <c r="AE21" s="248">
        <v>15.021611999999999</v>
      </c>
      <c r="AF21" s="248">
        <v>15.058424</v>
      </c>
      <c r="AG21" s="248">
        <v>15.105885000000001</v>
      </c>
      <c r="AH21" s="248">
        <v>15.176966</v>
      </c>
      <c r="AI21" s="248">
        <v>15.192781</v>
      </c>
      <c r="AJ21" s="248">
        <v>15.222968</v>
      </c>
      <c r="AK21" s="249">
        <v>0</v>
      </c>
    </row>
    <row r="23" spans="1:38">
      <c r="A23" s="6" t="s">
        <v>175</v>
      </c>
    </row>
    <row r="24" spans="1:38" s="251" customFormat="1">
      <c r="A24" s="250" t="s">
        <v>174</v>
      </c>
      <c r="B24" s="348">
        <v>1.7380001544952399</v>
      </c>
      <c r="C24" s="348">
        <v>1.7829999923706099</v>
      </c>
      <c r="D24" s="348">
        <v>1.82499992847443</v>
      </c>
      <c r="E24" s="348">
        <v>1.81299996376038</v>
      </c>
      <c r="F24" s="349">
        <v>1.86609554290771</v>
      </c>
      <c r="G24" s="295">
        <v>2.2160000000000002</v>
      </c>
      <c r="H24" s="295">
        <v>2.4</v>
      </c>
      <c r="I24" s="295">
        <v>2.4900000000000002</v>
      </c>
      <c r="J24" s="295">
        <v>2.5089999999999999</v>
      </c>
      <c r="K24" s="295">
        <v>2.5561180000000001</v>
      </c>
      <c r="L24" s="295">
        <v>2.6337290000000002</v>
      </c>
      <c r="M24" s="295">
        <v>2.6633930000000001</v>
      </c>
      <c r="N24" s="295">
        <v>2.6705079999999999</v>
      </c>
      <c r="O24" s="295">
        <v>2.669905</v>
      </c>
      <c r="P24" s="295">
        <v>2.6458759999999999</v>
      </c>
      <c r="Q24" s="295">
        <v>2.60798</v>
      </c>
      <c r="R24" s="295">
        <v>2.7045080000000001</v>
      </c>
      <c r="S24" s="295">
        <v>2.7930269999999999</v>
      </c>
      <c r="T24" s="295">
        <v>2.8390249999999999</v>
      </c>
      <c r="U24" s="295">
        <v>2.8728980000000002</v>
      </c>
      <c r="V24" s="295">
        <v>2.9033150000000001</v>
      </c>
      <c r="W24" s="295">
        <v>2.9228930000000002</v>
      </c>
      <c r="X24" s="295">
        <v>2.9406509999999999</v>
      </c>
      <c r="Y24" s="295">
        <v>2.9505080000000001</v>
      </c>
      <c r="Z24" s="295">
        <v>2.978853</v>
      </c>
      <c r="AA24" s="295">
        <v>3.0103460000000002</v>
      </c>
      <c r="AB24" s="295">
        <v>3.0288490000000001</v>
      </c>
      <c r="AC24" s="295">
        <v>3.0383969999999998</v>
      </c>
      <c r="AD24" s="295">
        <v>3.0546120000000001</v>
      </c>
      <c r="AE24" s="295">
        <v>3.0492400000000002</v>
      </c>
      <c r="AF24" s="295">
        <v>3.0289980000000001</v>
      </c>
      <c r="AG24" s="295">
        <v>3.058621</v>
      </c>
      <c r="AH24" s="295">
        <v>3.037477</v>
      </c>
      <c r="AI24" s="295">
        <v>3.013617</v>
      </c>
      <c r="AJ24" s="295">
        <v>2.983552</v>
      </c>
      <c r="AK24" s="296">
        <v>8.0000000000000002E-3</v>
      </c>
    </row>
    <row r="25" spans="1:38">
      <c r="A25" s="6" t="s">
        <v>173</v>
      </c>
      <c r="B25" s="348">
        <v>2.3140001296997101</v>
      </c>
      <c r="C25" s="348">
        <v>2.0869998931884801</v>
      </c>
      <c r="D25" s="348">
        <v>1.29999995231628</v>
      </c>
      <c r="E25" s="348">
        <v>1.3280000686645499</v>
      </c>
      <c r="F25" s="349">
        <v>1.6039888858795199</v>
      </c>
      <c r="G25" s="293">
        <v>-0.252</v>
      </c>
      <c r="H25" s="293">
        <v>-0.91600000000000004</v>
      </c>
      <c r="I25" s="293">
        <v>-0.98799999999999999</v>
      </c>
      <c r="J25" s="293">
        <v>-1.0289999999999999</v>
      </c>
      <c r="K25" s="293">
        <v>-0.96462499999999995</v>
      </c>
      <c r="L25" s="293">
        <v>-0.94448699999999997</v>
      </c>
      <c r="M25" s="293">
        <v>-0.93183700000000003</v>
      </c>
      <c r="N25" s="293">
        <v>-0.91123600000000005</v>
      </c>
      <c r="O25" s="293">
        <v>-0.88706300000000005</v>
      </c>
      <c r="P25" s="293">
        <v>-0.85573100000000002</v>
      </c>
      <c r="Q25" s="293">
        <v>-0.83163799999999999</v>
      </c>
      <c r="R25" s="293">
        <v>-0.89107099999999995</v>
      </c>
      <c r="S25" s="293">
        <v>-0.94251600000000002</v>
      </c>
      <c r="T25" s="293">
        <v>-0.97565599999999997</v>
      </c>
      <c r="U25" s="293">
        <v>-1.0068220000000001</v>
      </c>
      <c r="V25" s="293">
        <v>-1.068271</v>
      </c>
      <c r="W25" s="293">
        <v>-1.122708</v>
      </c>
      <c r="X25" s="293">
        <v>-1.1588719999999999</v>
      </c>
      <c r="Y25" s="293">
        <v>-1.2142729999999999</v>
      </c>
      <c r="Z25" s="293">
        <v>-1.293569</v>
      </c>
      <c r="AA25" s="293">
        <v>-1.3683129999999999</v>
      </c>
      <c r="AB25" s="293">
        <v>-1.4270320000000001</v>
      </c>
      <c r="AC25" s="293">
        <v>-1.482378</v>
      </c>
      <c r="AD25" s="293">
        <v>-1.563064</v>
      </c>
      <c r="AE25" s="293">
        <v>-1.613156</v>
      </c>
      <c r="AF25" s="293">
        <v>-1.650264</v>
      </c>
      <c r="AG25" s="293">
        <v>-1.716191</v>
      </c>
      <c r="AH25" s="293">
        <v>-1.7615620000000001</v>
      </c>
      <c r="AI25" s="293">
        <v>-1.7771790000000001</v>
      </c>
      <c r="AJ25" s="293">
        <v>-1.816797</v>
      </c>
      <c r="AK25" s="294">
        <v>2.5000000000000001E-2</v>
      </c>
    </row>
    <row r="26" spans="1:38">
      <c r="A26" s="6" t="s">
        <v>172</v>
      </c>
      <c r="B26" s="348">
        <v>2.1710000038146999</v>
      </c>
      <c r="C26" s="348">
        <v>1.93800008296967</v>
      </c>
      <c r="D26" s="348">
        <v>1.0240000486373899</v>
      </c>
      <c r="E26" s="348">
        <v>1.06200003623962</v>
      </c>
      <c r="F26" s="349">
        <v>1.54514491558075</v>
      </c>
      <c r="G26" s="293">
        <v>1.151</v>
      </c>
      <c r="H26" s="293">
        <v>0.84799999999999998</v>
      </c>
      <c r="I26" s="293">
        <v>0.70899999999999996</v>
      </c>
      <c r="J26" s="293">
        <v>0.72</v>
      </c>
      <c r="K26" s="293">
        <v>0.81863200000000003</v>
      </c>
      <c r="L26" s="293">
        <v>0.88173000000000001</v>
      </c>
      <c r="M26" s="293">
        <v>0.906914</v>
      </c>
      <c r="N26" s="293">
        <v>0.93180099999999999</v>
      </c>
      <c r="O26" s="293">
        <v>0.95816500000000004</v>
      </c>
      <c r="P26" s="293">
        <v>0.97589599999999999</v>
      </c>
      <c r="Q26" s="293">
        <v>0.98990599999999995</v>
      </c>
      <c r="R26" s="293">
        <v>1.006778</v>
      </c>
      <c r="S26" s="293">
        <v>1.0199199999999999</v>
      </c>
      <c r="T26" s="293">
        <v>1.03091</v>
      </c>
      <c r="U26" s="293">
        <v>1.05515</v>
      </c>
      <c r="V26" s="293">
        <v>1.0587679999999999</v>
      </c>
      <c r="W26" s="293">
        <v>1.0657570000000001</v>
      </c>
      <c r="X26" s="293">
        <v>1.0659179999999999</v>
      </c>
      <c r="Y26" s="293">
        <v>1.061431</v>
      </c>
      <c r="Z26" s="293">
        <v>1.0560160000000001</v>
      </c>
      <c r="AA26" s="293">
        <v>1.05697</v>
      </c>
      <c r="AB26" s="293">
        <v>1.0702149999999999</v>
      </c>
      <c r="AC26" s="293">
        <v>1.072165</v>
      </c>
      <c r="AD26" s="293">
        <v>1.0766100000000001</v>
      </c>
      <c r="AE26" s="293">
        <v>1.0822270000000001</v>
      </c>
      <c r="AF26" s="293">
        <v>1.093154</v>
      </c>
      <c r="AG26" s="293">
        <v>1.095712</v>
      </c>
      <c r="AH26" s="293">
        <v>1.0972550000000001</v>
      </c>
      <c r="AI26" s="293">
        <v>1.1087450000000001</v>
      </c>
      <c r="AJ26" s="293">
        <v>1.0974060000000001</v>
      </c>
      <c r="AK26" s="294">
        <v>8.9999999999999993E-3</v>
      </c>
    </row>
    <row r="27" spans="1:38">
      <c r="A27" s="6" t="s">
        <v>171</v>
      </c>
      <c r="B27" s="348">
        <v>0.68900001049041704</v>
      </c>
      <c r="C27" s="348">
        <v>0.71700000762939498</v>
      </c>
      <c r="D27" s="348">
        <v>0.60663330554962203</v>
      </c>
      <c r="E27" s="348">
        <v>0.60996818542480502</v>
      </c>
      <c r="F27" s="349">
        <v>0.60277581214904796</v>
      </c>
      <c r="G27" s="293">
        <v>0.68700000000000006</v>
      </c>
      <c r="H27" s="293">
        <v>0.60299999999999998</v>
      </c>
      <c r="I27" s="293">
        <v>0.58599999999999997</v>
      </c>
      <c r="J27" s="293">
        <v>0.54400000000000004</v>
      </c>
      <c r="K27" s="293">
        <v>0.540385</v>
      </c>
      <c r="L27" s="293">
        <v>0.53676900000000005</v>
      </c>
      <c r="M27" s="293">
        <v>0.53315299999999999</v>
      </c>
      <c r="N27" s="293">
        <v>0.52953899999999998</v>
      </c>
      <c r="O27" s="293">
        <v>0.52592300000000003</v>
      </c>
      <c r="P27" s="293">
        <v>0.52230699999999997</v>
      </c>
      <c r="Q27" s="293">
        <v>0.51869299999999996</v>
      </c>
      <c r="R27" s="293">
        <v>0.51507700000000001</v>
      </c>
      <c r="S27" s="293">
        <v>0.51146100000000005</v>
      </c>
      <c r="T27" s="293">
        <v>0.50784600000000002</v>
      </c>
      <c r="U27" s="293">
        <v>0.50423099999999998</v>
      </c>
      <c r="V27" s="293">
        <v>0.50061500000000003</v>
      </c>
      <c r="W27" s="293">
        <v>0.497</v>
      </c>
      <c r="X27" s="293">
        <v>0.49338500000000002</v>
      </c>
      <c r="Y27" s="293">
        <v>0.48976900000000001</v>
      </c>
      <c r="Z27" s="293">
        <v>0.48615399999999998</v>
      </c>
      <c r="AA27" s="293">
        <v>0.48253800000000002</v>
      </c>
      <c r="AB27" s="293">
        <v>0.47892299999999999</v>
      </c>
      <c r="AC27" s="293">
        <v>0.47530800000000001</v>
      </c>
      <c r="AD27" s="293">
        <v>0.471692</v>
      </c>
      <c r="AE27" s="293">
        <v>0.46807700000000002</v>
      </c>
      <c r="AF27" s="293">
        <v>0.46446199999999999</v>
      </c>
      <c r="AG27" s="293">
        <v>0.46084599999999998</v>
      </c>
      <c r="AH27" s="293">
        <v>0.45723000000000003</v>
      </c>
      <c r="AI27" s="293">
        <v>0.45361600000000002</v>
      </c>
      <c r="AJ27" s="293">
        <v>0.45</v>
      </c>
      <c r="AK27" s="294">
        <v>-0.01</v>
      </c>
    </row>
    <row r="28" spans="1:38">
      <c r="A28" s="6" t="s">
        <v>170</v>
      </c>
      <c r="B28" s="348">
        <v>0.67700004577636697</v>
      </c>
      <c r="C28" s="348">
        <v>0.75300002098083496</v>
      </c>
      <c r="D28" s="348">
        <v>0.73199999332428001</v>
      </c>
      <c r="E28" s="348">
        <v>0.71799999475479104</v>
      </c>
      <c r="F28" s="349">
        <v>0.62520116567611705</v>
      </c>
      <c r="G28" s="293">
        <v>0.71799999999999997</v>
      </c>
      <c r="H28" s="293">
        <v>0.61599999999999999</v>
      </c>
      <c r="I28" s="293">
        <v>0.61</v>
      </c>
      <c r="J28" s="293">
        <v>0.6</v>
      </c>
      <c r="K28" s="293">
        <v>0.67105999999999999</v>
      </c>
      <c r="L28" s="293">
        <v>0.66229499999999997</v>
      </c>
      <c r="M28" s="293">
        <v>0.65169100000000002</v>
      </c>
      <c r="N28" s="293">
        <v>0.64020900000000003</v>
      </c>
      <c r="O28" s="293">
        <v>0.62541100000000005</v>
      </c>
      <c r="P28" s="293">
        <v>0.61513700000000004</v>
      </c>
      <c r="Q28" s="293">
        <v>0.606742</v>
      </c>
      <c r="R28" s="293">
        <v>0.595522</v>
      </c>
      <c r="S28" s="293">
        <v>0.58620099999999997</v>
      </c>
      <c r="T28" s="293">
        <v>0.57591400000000004</v>
      </c>
      <c r="U28" s="293">
        <v>0.55055799999999999</v>
      </c>
      <c r="V28" s="293">
        <v>0.53803599999999996</v>
      </c>
      <c r="W28" s="293">
        <v>0.524864</v>
      </c>
      <c r="X28" s="293">
        <v>0.51505000000000001</v>
      </c>
      <c r="Y28" s="293">
        <v>0.50508799999999998</v>
      </c>
      <c r="Z28" s="293">
        <v>0.49612200000000001</v>
      </c>
      <c r="AA28" s="293">
        <v>0.48664200000000002</v>
      </c>
      <c r="AB28" s="293">
        <v>0.47747699999999998</v>
      </c>
      <c r="AC28" s="293">
        <v>0.46830300000000002</v>
      </c>
      <c r="AD28" s="293">
        <v>0.45679599999999998</v>
      </c>
      <c r="AE28" s="293">
        <v>0.44836500000000001</v>
      </c>
      <c r="AF28" s="293">
        <v>0.43787900000000002</v>
      </c>
      <c r="AG28" s="293">
        <v>0.42837799999999998</v>
      </c>
      <c r="AH28" s="293">
        <v>0.41841600000000001</v>
      </c>
      <c r="AI28" s="293">
        <v>0.40845399999999998</v>
      </c>
      <c r="AJ28" s="293">
        <v>0.39849099999999998</v>
      </c>
      <c r="AK28" s="294">
        <v>-1.4999999999999999E-2</v>
      </c>
    </row>
    <row r="29" spans="1:38">
      <c r="A29" s="6" t="s">
        <v>169</v>
      </c>
      <c r="B29" s="348">
        <v>1.2150000333786</v>
      </c>
      <c r="C29" s="348">
        <v>1.32100009918213</v>
      </c>
      <c r="D29" s="348">
        <v>1.2150000333786</v>
      </c>
      <c r="E29" s="348">
        <v>1.2150000333786</v>
      </c>
      <c r="F29" s="349">
        <v>1.16913342475891</v>
      </c>
      <c r="G29" s="293">
        <v>2.8079999999999998</v>
      </c>
      <c r="H29" s="293">
        <v>2.9830000000000001</v>
      </c>
      <c r="I29" s="293">
        <v>2.8929999999999998</v>
      </c>
      <c r="J29" s="293">
        <v>2.8929999999999998</v>
      </c>
      <c r="K29" s="293">
        <v>2.9947010000000001</v>
      </c>
      <c r="L29" s="293">
        <v>3.0252810000000001</v>
      </c>
      <c r="M29" s="293">
        <v>3.023596</v>
      </c>
      <c r="N29" s="293">
        <v>3.0127839999999999</v>
      </c>
      <c r="O29" s="293">
        <v>2.9965619999999999</v>
      </c>
      <c r="P29" s="293">
        <v>2.9690720000000002</v>
      </c>
      <c r="Q29" s="293">
        <v>2.9469789999999998</v>
      </c>
      <c r="R29" s="293">
        <v>3.0084490000000002</v>
      </c>
      <c r="S29" s="293">
        <v>3.0600990000000001</v>
      </c>
      <c r="T29" s="293">
        <v>3.090325</v>
      </c>
      <c r="U29" s="293">
        <v>3.1167609999999999</v>
      </c>
      <c r="V29" s="293">
        <v>3.1656900000000001</v>
      </c>
      <c r="W29" s="293">
        <v>3.2103290000000002</v>
      </c>
      <c r="X29" s="293">
        <v>3.2332260000000002</v>
      </c>
      <c r="Y29" s="293">
        <v>3.2705609999999998</v>
      </c>
      <c r="Z29" s="293">
        <v>3.331861</v>
      </c>
      <c r="AA29" s="293">
        <v>3.3944640000000001</v>
      </c>
      <c r="AB29" s="293">
        <v>3.4536470000000001</v>
      </c>
      <c r="AC29" s="293">
        <v>3.498154</v>
      </c>
      <c r="AD29" s="293">
        <v>3.5681620000000001</v>
      </c>
      <c r="AE29" s="293">
        <v>3.6118250000000001</v>
      </c>
      <c r="AF29" s="293">
        <v>3.6457579999999998</v>
      </c>
      <c r="AG29" s="293">
        <v>3.7011270000000001</v>
      </c>
      <c r="AH29" s="293">
        <v>3.7344629999999999</v>
      </c>
      <c r="AI29" s="293">
        <v>3.7479930000000001</v>
      </c>
      <c r="AJ29" s="293">
        <v>3.7626949999999999</v>
      </c>
      <c r="AK29" s="294">
        <v>8.0000000000000002E-3</v>
      </c>
    </row>
    <row r="30" spans="1:38">
      <c r="A30" s="6" t="s">
        <v>168</v>
      </c>
      <c r="B30" s="348">
        <v>0.99400001764297496</v>
      </c>
      <c r="C30" s="348">
        <v>0.99599999189376798</v>
      </c>
      <c r="D30" s="348">
        <v>0.99699997901916504</v>
      </c>
      <c r="E30" s="348">
        <v>0.97899997234344505</v>
      </c>
      <c r="F30" s="349">
        <v>0.97222220897674605</v>
      </c>
      <c r="G30" s="293">
        <v>1.0760000000000001</v>
      </c>
      <c r="H30" s="293">
        <v>1.077</v>
      </c>
      <c r="I30" s="293">
        <v>1.0620000000000001</v>
      </c>
      <c r="J30" s="293">
        <v>1.0549999999999999</v>
      </c>
      <c r="K30" s="293">
        <v>1.1173770000000001</v>
      </c>
      <c r="L30" s="293">
        <v>1.107977</v>
      </c>
      <c r="M30" s="293">
        <v>1.1068800000000001</v>
      </c>
      <c r="N30" s="293">
        <v>1.1013949999999999</v>
      </c>
      <c r="O30" s="293">
        <v>1.0899559999999999</v>
      </c>
      <c r="P30" s="293">
        <v>1.0810919999999999</v>
      </c>
      <c r="Q30" s="293">
        <v>1.070587</v>
      </c>
      <c r="R30" s="293">
        <v>1.0513539999999999</v>
      </c>
      <c r="S30" s="293">
        <v>1.032008</v>
      </c>
      <c r="T30" s="293">
        <v>1.0139609999999999</v>
      </c>
      <c r="U30" s="293">
        <v>0.99733000000000005</v>
      </c>
      <c r="V30" s="293">
        <v>0.98163100000000003</v>
      </c>
      <c r="W30" s="293">
        <v>0.97328499999999996</v>
      </c>
      <c r="X30" s="293">
        <v>0.96382100000000004</v>
      </c>
      <c r="Y30" s="293">
        <v>0.95674199999999998</v>
      </c>
      <c r="Z30" s="293">
        <v>0.95704199999999995</v>
      </c>
      <c r="AA30" s="293">
        <v>0.95328999999999997</v>
      </c>
      <c r="AB30" s="293">
        <v>0.95369499999999996</v>
      </c>
      <c r="AC30" s="293">
        <v>0.949291</v>
      </c>
      <c r="AD30" s="293">
        <v>0.94474999999999998</v>
      </c>
      <c r="AE30" s="293">
        <v>0.94433999999999996</v>
      </c>
      <c r="AF30" s="293">
        <v>0.94618999999999998</v>
      </c>
      <c r="AG30" s="293">
        <v>0.94669300000000001</v>
      </c>
      <c r="AH30" s="293">
        <v>0.95018899999999995</v>
      </c>
      <c r="AI30" s="293">
        <v>0.95436399999999999</v>
      </c>
      <c r="AJ30" s="293">
        <v>0.95464199999999999</v>
      </c>
      <c r="AK30" s="294">
        <v>-4.0000000000000001E-3</v>
      </c>
    </row>
    <row r="31" spans="1:38">
      <c r="A31" s="6" t="s">
        <v>691</v>
      </c>
      <c r="B31" s="348">
        <v>0.40835106372833302</v>
      </c>
      <c r="C31" s="348">
        <v>0.74303030967712402</v>
      </c>
      <c r="D31" s="348">
        <v>0.90019965171813998</v>
      </c>
      <c r="E31" s="348">
        <v>0.90936332941055298</v>
      </c>
      <c r="F31" s="349">
        <v>1.2169610261917101</v>
      </c>
      <c r="G31" s="293">
        <v>0.87458199999999997</v>
      </c>
      <c r="H31" s="293">
        <v>0.88629000000000002</v>
      </c>
      <c r="I31" s="293">
        <v>0.91131799999999996</v>
      </c>
      <c r="J31" s="293">
        <v>0.94543999999999995</v>
      </c>
      <c r="K31" s="293">
        <v>0.95931299999999997</v>
      </c>
      <c r="L31" s="293">
        <v>0.96406000000000003</v>
      </c>
      <c r="M31" s="293">
        <v>0.97751200000000005</v>
      </c>
      <c r="N31" s="293">
        <v>0.98974300000000004</v>
      </c>
      <c r="O31" s="293">
        <v>1.0016430000000001</v>
      </c>
      <c r="P31" s="293">
        <v>1.014486</v>
      </c>
      <c r="Q31" s="293">
        <v>1.026421</v>
      </c>
      <c r="R31" s="293">
        <v>1.04257</v>
      </c>
      <c r="S31" s="293">
        <v>1.0409060000000001</v>
      </c>
      <c r="T31" s="293">
        <v>1.042815</v>
      </c>
      <c r="U31" s="293">
        <v>1.0410189999999999</v>
      </c>
      <c r="V31" s="293">
        <v>1.0405869999999999</v>
      </c>
      <c r="W31" s="293">
        <v>1.0406690000000001</v>
      </c>
      <c r="X31" s="293">
        <v>1.0407820000000001</v>
      </c>
      <c r="Y31" s="293">
        <v>1.0402199999999999</v>
      </c>
      <c r="Z31" s="293">
        <v>1.0406690000000001</v>
      </c>
      <c r="AA31" s="293">
        <v>1.0418559999999999</v>
      </c>
      <c r="AB31" s="293">
        <v>1.0410980000000001</v>
      </c>
      <c r="AC31" s="293">
        <v>1.041115</v>
      </c>
      <c r="AD31" s="293">
        <v>1.0421020000000001</v>
      </c>
      <c r="AE31" s="293">
        <v>1.0415099999999999</v>
      </c>
      <c r="AF31" s="293">
        <v>1.039404</v>
      </c>
      <c r="AG31" s="293">
        <v>1.038624</v>
      </c>
      <c r="AH31" s="293">
        <v>1.041671</v>
      </c>
      <c r="AI31" s="293">
        <v>1.0532999999999999</v>
      </c>
      <c r="AJ31" s="293">
        <v>1.0676890000000001</v>
      </c>
      <c r="AK31" s="294">
        <v>7.0000000000000001E-3</v>
      </c>
    </row>
    <row r="32" spans="1:38" s="18" customFormat="1">
      <c r="A32" s="17" t="s">
        <v>167</v>
      </c>
      <c r="B32" s="350">
        <v>0.31900000572204601</v>
      </c>
      <c r="C32" s="350">
        <v>0.42500001192092901</v>
      </c>
      <c r="D32" s="350">
        <v>0.60299998521804798</v>
      </c>
      <c r="E32" s="350">
        <v>0.68500006198883101</v>
      </c>
      <c r="F32" s="351">
        <v>0.84147453308105502</v>
      </c>
      <c r="G32" s="293">
        <v>0.81834200000000001</v>
      </c>
      <c r="H32" s="293">
        <v>0.82725800000000005</v>
      </c>
      <c r="I32" s="293">
        <v>0.825187</v>
      </c>
      <c r="J32" s="293">
        <v>0.85004199999999996</v>
      </c>
      <c r="K32" s="293">
        <v>0.865282</v>
      </c>
      <c r="L32" s="293">
        <v>0.869251</v>
      </c>
      <c r="M32" s="293">
        <v>0.88145200000000001</v>
      </c>
      <c r="N32" s="293">
        <v>0.88586200000000004</v>
      </c>
      <c r="O32" s="293">
        <v>0.88890000000000002</v>
      </c>
      <c r="P32" s="293">
        <v>0.89585899999999996</v>
      </c>
      <c r="Q32" s="293">
        <v>0.89987200000000001</v>
      </c>
      <c r="R32" s="293">
        <v>0.91550900000000002</v>
      </c>
      <c r="S32" s="293">
        <v>0.91492399999999996</v>
      </c>
      <c r="T32" s="293">
        <v>0.91555299999999995</v>
      </c>
      <c r="U32" s="293">
        <v>0.91523600000000005</v>
      </c>
      <c r="V32" s="293">
        <v>0.91508800000000001</v>
      </c>
      <c r="W32" s="293">
        <v>0.91518600000000006</v>
      </c>
      <c r="X32" s="293">
        <v>0.91533399999999998</v>
      </c>
      <c r="Y32" s="293">
        <v>0.91476000000000002</v>
      </c>
      <c r="Z32" s="293">
        <v>0.91483099999999995</v>
      </c>
      <c r="AA32" s="293">
        <v>0.91463499999999998</v>
      </c>
      <c r="AB32" s="293">
        <v>0.91389500000000001</v>
      </c>
      <c r="AC32" s="293">
        <v>0.91388999999999998</v>
      </c>
      <c r="AD32" s="293">
        <v>0.91484699999999997</v>
      </c>
      <c r="AE32" s="293">
        <v>0.91425800000000002</v>
      </c>
      <c r="AF32" s="293">
        <v>0.91217999999999999</v>
      </c>
      <c r="AG32" s="293">
        <v>0.91165499999999999</v>
      </c>
      <c r="AH32" s="293">
        <v>0.91445399999999999</v>
      </c>
      <c r="AI32" s="293">
        <v>0.92887299999999995</v>
      </c>
      <c r="AJ32" s="293">
        <v>0.94600499999999998</v>
      </c>
      <c r="AK32" s="294">
        <v>5.0000000000000001E-3</v>
      </c>
      <c r="AL32" s="51">
        <f>C32*(1+AK32)^23</f>
        <v>0.4766596202229666</v>
      </c>
    </row>
    <row r="33" spans="1:38" s="18" customFormat="1">
      <c r="A33" s="17" t="s">
        <v>165</v>
      </c>
      <c r="B33" s="350">
        <v>0.273288995027542</v>
      </c>
      <c r="C33" s="350">
        <v>0.40336400270461997</v>
      </c>
      <c r="D33" s="350">
        <v>0.58252400159835804</v>
      </c>
      <c r="E33" s="350">
        <v>0.68972003459930398</v>
      </c>
      <c r="F33" s="351">
        <v>0.84179353713989302</v>
      </c>
      <c r="G33" s="293">
        <v>0.88597599999999999</v>
      </c>
      <c r="H33" s="293">
        <v>0.84365599999999996</v>
      </c>
      <c r="I33" s="293">
        <v>0.83595299999999995</v>
      </c>
      <c r="J33" s="293">
        <v>0.86998399999999998</v>
      </c>
      <c r="K33" s="293">
        <v>0.82013999999999998</v>
      </c>
      <c r="L33" s="293">
        <v>0.82233599999999996</v>
      </c>
      <c r="M33" s="293">
        <v>0.83316999999999997</v>
      </c>
      <c r="N33" s="293">
        <v>0.834866</v>
      </c>
      <c r="O33" s="293">
        <v>0.83494199999999996</v>
      </c>
      <c r="P33" s="293">
        <v>0.84040599999999999</v>
      </c>
      <c r="Q33" s="293">
        <v>0.83868500000000001</v>
      </c>
      <c r="R33" s="293">
        <v>0.84875</v>
      </c>
      <c r="S33" s="293">
        <v>0.85439200000000004</v>
      </c>
      <c r="T33" s="293">
        <v>0.85437700000000005</v>
      </c>
      <c r="U33" s="293">
        <v>0.85438800000000004</v>
      </c>
      <c r="V33" s="293">
        <v>0.85439200000000004</v>
      </c>
      <c r="W33" s="293">
        <v>0.85523000000000005</v>
      </c>
      <c r="X33" s="293">
        <v>0.85584700000000002</v>
      </c>
      <c r="Y33" s="293">
        <v>0.85583500000000001</v>
      </c>
      <c r="Z33" s="293">
        <v>0.85584700000000002</v>
      </c>
      <c r="AA33" s="293">
        <v>0.85584700000000002</v>
      </c>
      <c r="AB33" s="293">
        <v>0.85583500000000001</v>
      </c>
      <c r="AC33" s="293">
        <v>0.85583500000000001</v>
      </c>
      <c r="AD33" s="293">
        <v>0.85583500000000001</v>
      </c>
      <c r="AE33" s="293">
        <v>0.85358400000000001</v>
      </c>
      <c r="AF33" s="293">
        <v>0.84983299999999995</v>
      </c>
      <c r="AG33" s="293">
        <v>0.84757499999999997</v>
      </c>
      <c r="AH33" s="293">
        <v>0.84855400000000003</v>
      </c>
      <c r="AI33" s="293">
        <v>0.85902400000000001</v>
      </c>
      <c r="AJ33" s="293">
        <v>0.86278500000000002</v>
      </c>
      <c r="AK33" s="294">
        <v>1E-3</v>
      </c>
      <c r="AL33" s="51" t="s">
        <v>0</v>
      </c>
    </row>
    <row r="34" spans="1:38">
      <c r="A34" s="6" t="s">
        <v>164</v>
      </c>
      <c r="B34" s="348">
        <v>4.5710995793342597E-2</v>
      </c>
      <c r="C34" s="348">
        <v>2.1635998040437698E-2</v>
      </c>
      <c r="D34" s="348">
        <v>2.0475998520851101E-2</v>
      </c>
      <c r="E34" s="348">
        <v>-4.7199996188283001E-3</v>
      </c>
      <c r="F34" s="349">
        <v>-3.1897879671305402E-4</v>
      </c>
      <c r="G34" s="293">
        <v>-6.6753999999999994E-2</v>
      </c>
      <c r="H34" s="293">
        <v>-1.6397999999999999E-2</v>
      </c>
      <c r="I34" s="293">
        <v>-1.0766E-2</v>
      </c>
      <c r="J34" s="293">
        <v>-1.9942000000000001E-2</v>
      </c>
      <c r="K34" s="293">
        <v>4.5142000000000002E-2</v>
      </c>
      <c r="L34" s="293">
        <v>4.6915999999999999E-2</v>
      </c>
      <c r="M34" s="293">
        <v>4.8281999999999999E-2</v>
      </c>
      <c r="N34" s="293">
        <v>5.0996E-2</v>
      </c>
      <c r="O34" s="293">
        <v>5.3957999999999999E-2</v>
      </c>
      <c r="P34" s="293">
        <v>5.5452000000000001E-2</v>
      </c>
      <c r="Q34" s="293">
        <v>6.1186999999999998E-2</v>
      </c>
      <c r="R34" s="293">
        <v>6.6758999999999999E-2</v>
      </c>
      <c r="S34" s="293">
        <v>6.0532000000000002E-2</v>
      </c>
      <c r="T34" s="293">
        <v>6.1176000000000001E-2</v>
      </c>
      <c r="U34" s="293">
        <v>6.0847999999999999E-2</v>
      </c>
      <c r="V34" s="293">
        <v>6.0696E-2</v>
      </c>
      <c r="W34" s="293">
        <v>5.9957000000000003E-2</v>
      </c>
      <c r="X34" s="293">
        <v>5.9486999999999998E-2</v>
      </c>
      <c r="Y34" s="293">
        <v>5.8924999999999998E-2</v>
      </c>
      <c r="Z34" s="293">
        <v>5.8984000000000002E-2</v>
      </c>
      <c r="AA34" s="293">
        <v>5.8788E-2</v>
      </c>
      <c r="AB34" s="293">
        <v>5.806E-2</v>
      </c>
      <c r="AC34" s="293">
        <v>5.8056000000000003E-2</v>
      </c>
      <c r="AD34" s="293">
        <v>5.9012000000000002E-2</v>
      </c>
      <c r="AE34" s="293">
        <v>6.0673999999999999E-2</v>
      </c>
      <c r="AF34" s="293">
        <v>6.2348000000000001E-2</v>
      </c>
      <c r="AG34" s="293">
        <v>6.4079999999999998E-2</v>
      </c>
      <c r="AH34" s="293">
        <v>6.59E-2</v>
      </c>
      <c r="AI34" s="293">
        <v>6.9848999999999994E-2</v>
      </c>
      <c r="AJ34" s="293">
        <v>8.3220000000000002E-2</v>
      </c>
      <c r="AK34" s="293" t="s">
        <v>41</v>
      </c>
    </row>
    <row r="35" spans="1:38" s="18" customFormat="1">
      <c r="A35" s="17" t="s">
        <v>166</v>
      </c>
      <c r="B35" s="350">
        <v>1.6338998451829002E-2</v>
      </c>
      <c r="C35" s="350">
        <v>3.2029997557401699E-2</v>
      </c>
      <c r="D35" s="350">
        <v>5.1199223846197101E-2</v>
      </c>
      <c r="E35" s="350">
        <v>6.0358572751283597E-2</v>
      </c>
      <c r="F35" s="351">
        <v>6.3932694494724301E-2</v>
      </c>
      <c r="G35" s="293">
        <v>5.6239999999999998E-2</v>
      </c>
      <c r="H35" s="293">
        <v>5.9032000000000001E-2</v>
      </c>
      <c r="I35" s="293">
        <v>8.6099999999999996E-2</v>
      </c>
      <c r="J35" s="293">
        <v>9.0199000000000001E-2</v>
      </c>
      <c r="K35" s="293">
        <v>9.0070999999999998E-2</v>
      </c>
      <c r="L35" s="293">
        <v>8.6830000000000004E-2</v>
      </c>
      <c r="M35" s="293">
        <v>8.6858000000000005E-2</v>
      </c>
      <c r="N35" s="293">
        <v>8.5750999999999994E-2</v>
      </c>
      <c r="O35" s="293">
        <v>8.7317000000000006E-2</v>
      </c>
      <c r="P35" s="293">
        <v>8.8449E-2</v>
      </c>
      <c r="Q35" s="293">
        <v>8.8486999999999996E-2</v>
      </c>
      <c r="R35" s="293">
        <v>8.8999999999999996E-2</v>
      </c>
      <c r="S35" s="293">
        <v>8.8025000000000006E-2</v>
      </c>
      <c r="T35" s="293">
        <v>8.9304999999999995E-2</v>
      </c>
      <c r="U35" s="293">
        <v>8.7721999999999994E-2</v>
      </c>
      <c r="V35" s="293">
        <v>8.7541999999999995E-2</v>
      </c>
      <c r="W35" s="293">
        <v>8.7525000000000006E-2</v>
      </c>
      <c r="X35" s="293">
        <v>8.7489999999999998E-2</v>
      </c>
      <c r="Y35" s="293">
        <v>8.7501999999999996E-2</v>
      </c>
      <c r="Z35" s="293">
        <v>8.788E-2</v>
      </c>
      <c r="AA35" s="293">
        <v>8.9262999999999995E-2</v>
      </c>
      <c r="AB35" s="293">
        <v>8.9245000000000005E-2</v>
      </c>
      <c r="AC35" s="293">
        <v>8.9370000000000005E-2</v>
      </c>
      <c r="AD35" s="293">
        <v>8.9401999999999995E-2</v>
      </c>
      <c r="AE35" s="293">
        <v>8.9397000000000004E-2</v>
      </c>
      <c r="AF35" s="293">
        <v>8.9370000000000005E-2</v>
      </c>
      <c r="AG35" s="293">
        <v>8.9115E-2</v>
      </c>
      <c r="AH35" s="293">
        <v>8.9362999999999998E-2</v>
      </c>
      <c r="AI35" s="293">
        <v>8.9108000000000007E-2</v>
      </c>
      <c r="AJ35" s="293">
        <v>8.9448E-2</v>
      </c>
      <c r="AK35" s="293" t="s">
        <v>41</v>
      </c>
    </row>
    <row r="36" spans="1:38" s="18" customFormat="1">
      <c r="A36" s="17" t="s">
        <v>165</v>
      </c>
      <c r="B36" s="350">
        <v>1.6338998451829002E-2</v>
      </c>
      <c r="C36" s="350">
        <v>3.2029997557401699E-2</v>
      </c>
      <c r="D36" s="350">
        <v>5.1199223846197101E-2</v>
      </c>
      <c r="E36" s="350">
        <v>6.0358572751283597E-2</v>
      </c>
      <c r="F36" s="351">
        <v>6.3932694494724301E-2</v>
      </c>
      <c r="G36" s="293">
        <v>6.3100000000000003E-2</v>
      </c>
      <c r="H36" s="293">
        <v>6.3100000000000003E-2</v>
      </c>
      <c r="I36" s="293">
        <v>8.1100000000000005E-2</v>
      </c>
      <c r="J36" s="293">
        <v>8.7099999999999997E-2</v>
      </c>
      <c r="K36" s="293">
        <v>7.9580999999999999E-2</v>
      </c>
      <c r="L36" s="293">
        <v>7.6044E-2</v>
      </c>
      <c r="M36" s="293">
        <v>7.5939000000000006E-2</v>
      </c>
      <c r="N36" s="293">
        <v>7.4647000000000005E-2</v>
      </c>
      <c r="O36" s="293">
        <v>7.6071E-2</v>
      </c>
      <c r="P36" s="293">
        <v>7.6998999999999998E-2</v>
      </c>
      <c r="Q36" s="293">
        <v>7.6729000000000006E-2</v>
      </c>
      <c r="R36" s="293">
        <v>7.7030000000000001E-2</v>
      </c>
      <c r="S36" s="293">
        <v>7.5851000000000002E-2</v>
      </c>
      <c r="T36" s="293">
        <v>7.7146000000000006E-2</v>
      </c>
      <c r="U36" s="293">
        <v>7.5544E-2</v>
      </c>
      <c r="V36" s="293">
        <v>7.5385999999999995E-2</v>
      </c>
      <c r="W36" s="293">
        <v>7.5385999999999995E-2</v>
      </c>
      <c r="X36" s="293">
        <v>7.5385999999999995E-2</v>
      </c>
      <c r="Y36" s="293">
        <v>7.5385999999999995E-2</v>
      </c>
      <c r="Z36" s="293">
        <v>7.5749999999999998E-2</v>
      </c>
      <c r="AA36" s="293">
        <v>7.7146000000000006E-2</v>
      </c>
      <c r="AB36" s="293">
        <v>7.7146000000000006E-2</v>
      </c>
      <c r="AC36" s="293">
        <v>7.7260999999999996E-2</v>
      </c>
      <c r="AD36" s="293">
        <v>7.7260999999999996E-2</v>
      </c>
      <c r="AE36" s="293">
        <v>7.7260999999999996E-2</v>
      </c>
      <c r="AF36" s="293">
        <v>7.7260999999999996E-2</v>
      </c>
      <c r="AG36" s="293">
        <v>7.7010999999999996E-2</v>
      </c>
      <c r="AH36" s="293">
        <v>7.7260999999999996E-2</v>
      </c>
      <c r="AI36" s="293">
        <v>7.7010999999999996E-2</v>
      </c>
      <c r="AJ36" s="293">
        <v>7.7376E-2</v>
      </c>
      <c r="AK36" s="294">
        <v>7.0000000000000001E-3</v>
      </c>
    </row>
    <row r="37" spans="1:38">
      <c r="A37" s="6" t="s">
        <v>164</v>
      </c>
      <c r="B37" s="348">
        <v>0</v>
      </c>
      <c r="C37" s="348">
        <v>0</v>
      </c>
      <c r="D37" s="348">
        <v>0</v>
      </c>
      <c r="E37" s="348">
        <v>0</v>
      </c>
      <c r="F37" s="349">
        <v>0</v>
      </c>
      <c r="G37" s="293">
        <v>-3.4629999999999999E-3</v>
      </c>
      <c r="H37" s="293">
        <v>-4.0679999999999996E-3</v>
      </c>
      <c r="I37" s="293">
        <v>5.0000000000000001E-3</v>
      </c>
      <c r="J37" s="293">
        <v>3.0990000000000002E-3</v>
      </c>
      <c r="K37" s="293">
        <v>1.0489999999999999E-2</v>
      </c>
      <c r="L37" s="293">
        <v>1.0786E-2</v>
      </c>
      <c r="M37" s="293">
        <v>1.0919E-2</v>
      </c>
      <c r="N37" s="293">
        <v>1.1103999999999999E-2</v>
      </c>
      <c r="O37" s="293">
        <v>1.1247E-2</v>
      </c>
      <c r="P37" s="293">
        <v>1.145E-2</v>
      </c>
      <c r="Q37" s="293">
        <v>1.1757999999999999E-2</v>
      </c>
      <c r="R37" s="293">
        <v>1.197E-2</v>
      </c>
      <c r="S37" s="293">
        <v>1.2174000000000001E-2</v>
      </c>
      <c r="T37" s="293">
        <v>1.2159E-2</v>
      </c>
      <c r="U37" s="293">
        <v>1.2178E-2</v>
      </c>
      <c r="V37" s="293">
        <v>1.2154999999999999E-2</v>
      </c>
      <c r="W37" s="293">
        <v>1.2139E-2</v>
      </c>
      <c r="X37" s="293">
        <v>1.2104E-2</v>
      </c>
      <c r="Y37" s="293">
        <v>1.2116E-2</v>
      </c>
      <c r="Z37" s="293">
        <v>1.2130999999999999E-2</v>
      </c>
      <c r="AA37" s="293">
        <v>1.2118E-2</v>
      </c>
      <c r="AB37" s="293">
        <v>1.21E-2</v>
      </c>
      <c r="AC37" s="293">
        <v>1.2109999999999999E-2</v>
      </c>
      <c r="AD37" s="293">
        <v>1.2141000000000001E-2</v>
      </c>
      <c r="AE37" s="293">
        <v>1.2137E-2</v>
      </c>
      <c r="AF37" s="293">
        <v>1.2109E-2</v>
      </c>
      <c r="AG37" s="293">
        <v>1.2102999999999999E-2</v>
      </c>
      <c r="AH37" s="293">
        <v>1.2102E-2</v>
      </c>
      <c r="AI37" s="293">
        <v>1.2096000000000001E-2</v>
      </c>
      <c r="AJ37" s="293">
        <v>1.2071999999999999E-2</v>
      </c>
      <c r="AK37" s="293" t="s">
        <v>41</v>
      </c>
    </row>
    <row r="38" spans="1:38">
      <c r="A38" s="6" t="s">
        <v>163</v>
      </c>
      <c r="B38" s="348">
        <v>0</v>
      </c>
      <c r="C38" s="348">
        <v>0</v>
      </c>
      <c r="D38" s="348">
        <v>0</v>
      </c>
      <c r="E38" s="348">
        <v>0</v>
      </c>
      <c r="F38" s="349">
        <v>0</v>
      </c>
      <c r="G38" s="293">
        <v>2.2160000000000002</v>
      </c>
      <c r="H38" s="293">
        <v>2.4</v>
      </c>
      <c r="I38" s="293">
        <v>2.4900000000000002</v>
      </c>
      <c r="J38" s="293">
        <v>2.5089999999999999</v>
      </c>
      <c r="K38" s="293">
        <v>2.5561180000000001</v>
      </c>
      <c r="L38" s="293">
        <v>2.6337290000000002</v>
      </c>
      <c r="M38" s="293">
        <v>2.6633930000000001</v>
      </c>
      <c r="N38" s="293">
        <v>2.6705079999999999</v>
      </c>
      <c r="O38" s="293">
        <v>2.669905</v>
      </c>
      <c r="P38" s="293">
        <v>2.6458759999999999</v>
      </c>
      <c r="Q38" s="293">
        <v>2.60798</v>
      </c>
      <c r="R38" s="293">
        <v>2.7045080000000001</v>
      </c>
      <c r="S38" s="293">
        <v>2.7930269999999999</v>
      </c>
      <c r="T38" s="293">
        <v>2.8390249999999999</v>
      </c>
      <c r="U38" s="293">
        <v>2.8728980000000002</v>
      </c>
      <c r="V38" s="293">
        <v>2.9033150000000001</v>
      </c>
      <c r="W38" s="293">
        <v>2.9228930000000002</v>
      </c>
      <c r="X38" s="293">
        <v>2.9406509999999999</v>
      </c>
      <c r="Y38" s="293">
        <v>2.9505080000000001</v>
      </c>
      <c r="Z38" s="293">
        <v>2.978853</v>
      </c>
      <c r="AA38" s="293">
        <v>3.0103460000000002</v>
      </c>
      <c r="AB38" s="293">
        <v>3.0288490000000001</v>
      </c>
      <c r="AC38" s="293">
        <v>3.0383969999999998</v>
      </c>
      <c r="AD38" s="293">
        <v>3.0546120000000001</v>
      </c>
      <c r="AE38" s="293">
        <v>3.0492400000000002</v>
      </c>
      <c r="AF38" s="293">
        <v>3.0289980000000001</v>
      </c>
      <c r="AG38" s="293">
        <v>3.058621</v>
      </c>
      <c r="AH38" s="293">
        <v>3.037477</v>
      </c>
      <c r="AI38" s="293">
        <v>3.013617</v>
      </c>
      <c r="AJ38" s="293">
        <v>2.983552</v>
      </c>
      <c r="AK38" s="294">
        <v>8.0000000000000002E-3</v>
      </c>
    </row>
    <row r="39" spans="1:38">
      <c r="A39" s="6" t="s">
        <v>162</v>
      </c>
      <c r="B39" s="348">
        <v>0</v>
      </c>
      <c r="C39" s="348">
        <v>0</v>
      </c>
      <c r="D39" s="348">
        <v>0</v>
      </c>
      <c r="E39" s="348">
        <v>0</v>
      </c>
      <c r="F39" s="349">
        <v>0</v>
      </c>
      <c r="G39" s="293">
        <v>0</v>
      </c>
      <c r="H39" s="293">
        <v>0</v>
      </c>
      <c r="I39" s="293">
        <v>0</v>
      </c>
      <c r="J39" s="293">
        <v>0</v>
      </c>
      <c r="K39" s="293">
        <v>0</v>
      </c>
      <c r="L39" s="293">
        <v>0</v>
      </c>
      <c r="M39" s="293">
        <v>0</v>
      </c>
      <c r="N39" s="293">
        <v>0</v>
      </c>
      <c r="O39" s="293">
        <v>0</v>
      </c>
      <c r="P39" s="293">
        <v>0</v>
      </c>
      <c r="Q39" s="293">
        <v>0</v>
      </c>
      <c r="R39" s="293">
        <v>0</v>
      </c>
      <c r="S39" s="293">
        <v>0</v>
      </c>
      <c r="T39" s="293">
        <v>0</v>
      </c>
      <c r="U39" s="293">
        <v>0</v>
      </c>
      <c r="V39" s="293">
        <v>0</v>
      </c>
      <c r="W39" s="293">
        <v>0</v>
      </c>
      <c r="X39" s="293">
        <v>0</v>
      </c>
      <c r="Y39" s="293">
        <v>0</v>
      </c>
      <c r="Z39" s="293">
        <v>0</v>
      </c>
      <c r="AA39" s="293">
        <v>0</v>
      </c>
      <c r="AB39" s="293">
        <v>0</v>
      </c>
      <c r="AC39" s="293">
        <v>0</v>
      </c>
      <c r="AD39" s="293">
        <v>0</v>
      </c>
      <c r="AE39" s="293">
        <v>0</v>
      </c>
      <c r="AF39" s="293">
        <v>0</v>
      </c>
      <c r="AG39" s="293">
        <v>0</v>
      </c>
      <c r="AH39" s="293">
        <v>0</v>
      </c>
      <c r="AI39" s="293">
        <v>0</v>
      </c>
      <c r="AJ39" s="293">
        <v>0</v>
      </c>
      <c r="AK39" s="293" t="s">
        <v>41</v>
      </c>
    </row>
    <row r="40" spans="1:38" s="270" customFormat="1">
      <c r="A40" s="269" t="s">
        <v>161</v>
      </c>
      <c r="B40" s="350">
        <v>0</v>
      </c>
      <c r="C40" s="350">
        <v>0</v>
      </c>
      <c r="D40" s="350">
        <v>0</v>
      </c>
      <c r="E40" s="350">
        <v>0</v>
      </c>
      <c r="F40" s="351">
        <v>0</v>
      </c>
      <c r="G40" s="301">
        <v>0</v>
      </c>
      <c r="H40" s="301">
        <v>3.4809526987373799E-3</v>
      </c>
      <c r="I40" s="301">
        <v>5.2319555543363103E-3</v>
      </c>
      <c r="J40" s="301">
        <v>7.8436248004436493E-3</v>
      </c>
      <c r="K40" s="301">
        <v>1.17142805829644E-2</v>
      </c>
      <c r="L40" s="301">
        <v>1.7396988347172699E-2</v>
      </c>
      <c r="M40" s="301">
        <v>2.5625614449381801E-2</v>
      </c>
      <c r="N40" s="301">
        <v>3.7305567413568497E-2</v>
      </c>
      <c r="O40" s="301">
        <v>5.34236840903759E-2</v>
      </c>
      <c r="P40" s="301">
        <v>7.4822284281253801E-2</v>
      </c>
      <c r="Q40" s="301">
        <v>0.10181753337383299</v>
      </c>
      <c r="R40" s="301">
        <v>0.133762747049332</v>
      </c>
      <c r="S40" s="301">
        <v>0.16882437467575101</v>
      </c>
      <c r="T40" s="301">
        <v>0.204265296459198</v>
      </c>
      <c r="U40" s="301">
        <v>0.237230360507965</v>
      </c>
      <c r="V40" s="301">
        <v>0.26560345292091397</v>
      </c>
      <c r="W40" s="301">
        <v>0.28843852877616899</v>
      </c>
      <c r="X40" s="301">
        <v>0.30584391951561002</v>
      </c>
      <c r="Y40" s="301">
        <v>0.31856861710548401</v>
      </c>
      <c r="Z40" s="301">
        <v>0.32759037613868702</v>
      </c>
      <c r="AA40" s="301"/>
      <c r="AB40" s="301"/>
      <c r="AC40" s="301"/>
      <c r="AD40" s="301"/>
      <c r="AE40" s="301"/>
      <c r="AF40" s="301"/>
      <c r="AG40" s="301"/>
      <c r="AH40" s="301"/>
      <c r="AI40" s="301"/>
      <c r="AJ40" s="301"/>
      <c r="AK40" s="302" t="s">
        <v>41</v>
      </c>
    </row>
    <row r="41" spans="1:38">
      <c r="A41" s="6" t="s">
        <v>692</v>
      </c>
      <c r="B41" s="348">
        <v>7.3012053966522203E-2</v>
      </c>
      <c r="C41" s="348">
        <v>0.28600034117698703</v>
      </c>
      <c r="D41" s="348">
        <v>0.24600045382976499</v>
      </c>
      <c r="E41" s="348">
        <v>0.16400466859340701</v>
      </c>
      <c r="F41" s="349">
        <v>0.31155380606651301</v>
      </c>
      <c r="G41" s="293">
        <v>0.182</v>
      </c>
      <c r="H41" s="293">
        <v>0.191</v>
      </c>
      <c r="I41" s="293">
        <v>0.193</v>
      </c>
      <c r="J41" s="293">
        <v>0.193</v>
      </c>
      <c r="K41" s="293">
        <v>0.28578500000000001</v>
      </c>
      <c r="L41" s="293">
        <v>0.28816599999999998</v>
      </c>
      <c r="M41" s="293">
        <v>0.290412</v>
      </c>
      <c r="N41" s="293">
        <v>0.29299799999999998</v>
      </c>
      <c r="O41" s="293">
        <v>0.293852</v>
      </c>
      <c r="P41" s="293">
        <v>0.29503000000000001</v>
      </c>
      <c r="Q41" s="293">
        <v>0.298292</v>
      </c>
      <c r="R41" s="293">
        <v>0.29944399999999999</v>
      </c>
      <c r="S41" s="293">
        <v>0.29972700000000002</v>
      </c>
      <c r="T41" s="293">
        <v>0.301095</v>
      </c>
      <c r="U41" s="293">
        <v>0.30102299999999999</v>
      </c>
      <c r="V41" s="293">
        <v>0.30064000000000002</v>
      </c>
      <c r="W41" s="293">
        <v>0.30251600000000001</v>
      </c>
      <c r="X41" s="293">
        <v>0.30219699999999999</v>
      </c>
      <c r="Y41" s="293">
        <v>0.30013899999999999</v>
      </c>
      <c r="Z41" s="293">
        <v>0.30297200000000002</v>
      </c>
      <c r="AA41" s="293">
        <v>0.30451</v>
      </c>
      <c r="AB41" s="293">
        <v>0.306419</v>
      </c>
      <c r="AC41" s="293">
        <v>0.30664000000000002</v>
      </c>
      <c r="AD41" s="293">
        <v>0.30698399999999998</v>
      </c>
      <c r="AE41" s="293">
        <v>0.308342</v>
      </c>
      <c r="AF41" s="293">
        <v>0.30915900000000002</v>
      </c>
      <c r="AG41" s="293">
        <v>0.30972699999999997</v>
      </c>
      <c r="AH41" s="293">
        <v>0.31073899999999999</v>
      </c>
      <c r="AI41" s="293">
        <v>0.31163999999999997</v>
      </c>
      <c r="AJ41" s="293">
        <v>0.31290899999999999</v>
      </c>
      <c r="AK41" s="294">
        <v>1.7999999999999999E-2</v>
      </c>
    </row>
    <row r="42" spans="1:38">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row>
    <row r="43" spans="1:38" s="18" customFormat="1">
      <c r="A43" s="17" t="s">
        <v>693</v>
      </c>
      <c r="B43" s="350">
        <v>20.697353363037099</v>
      </c>
      <c r="C43" s="350">
        <v>20.768030166626001</v>
      </c>
      <c r="D43" s="350">
        <v>19.647199630737301</v>
      </c>
      <c r="E43" s="350">
        <v>19.421310424804702</v>
      </c>
      <c r="F43" s="351">
        <v>19.587932586669901</v>
      </c>
      <c r="G43" s="248">
        <v>18.938583000000001</v>
      </c>
      <c r="H43" s="248">
        <v>18.592289000000001</v>
      </c>
      <c r="I43" s="248">
        <v>18.985319</v>
      </c>
      <c r="J43" s="248">
        <v>18.815241</v>
      </c>
      <c r="K43" s="248">
        <v>19.157446</v>
      </c>
      <c r="L43" s="248">
        <v>19.35895</v>
      </c>
      <c r="M43" s="248">
        <v>19.477530000000002</v>
      </c>
      <c r="N43" s="248">
        <v>19.527609000000002</v>
      </c>
      <c r="O43" s="248">
        <v>19.535461000000002</v>
      </c>
      <c r="P43" s="248">
        <v>19.520367</v>
      </c>
      <c r="Q43" s="248">
        <v>19.477088999999999</v>
      </c>
      <c r="R43" s="248">
        <v>19.437809000000001</v>
      </c>
      <c r="S43" s="248">
        <v>19.388767000000001</v>
      </c>
      <c r="T43" s="248">
        <v>19.330017000000002</v>
      </c>
      <c r="U43" s="248">
        <v>19.262318</v>
      </c>
      <c r="V43" s="248">
        <v>19.178843000000001</v>
      </c>
      <c r="W43" s="248">
        <v>19.119274000000001</v>
      </c>
      <c r="X43" s="248">
        <v>19.059887</v>
      </c>
      <c r="Y43" s="248">
        <v>18.980637000000002</v>
      </c>
      <c r="Z43" s="248">
        <v>18.926172000000001</v>
      </c>
      <c r="AA43" s="248">
        <v>18.880776999999998</v>
      </c>
      <c r="AB43" s="248">
        <v>18.838093000000001</v>
      </c>
      <c r="AC43" s="248">
        <v>18.795445999999998</v>
      </c>
      <c r="AD43" s="248">
        <v>18.768318000000001</v>
      </c>
      <c r="AE43" s="248">
        <v>18.751888000000001</v>
      </c>
      <c r="AF43" s="248">
        <v>18.731911</v>
      </c>
      <c r="AG43" s="248">
        <v>18.743359000000002</v>
      </c>
      <c r="AH43" s="248">
        <v>18.755479999999999</v>
      </c>
      <c r="AI43" s="248">
        <v>18.748524</v>
      </c>
      <c r="AJ43" s="248">
        <v>18.724962000000001</v>
      </c>
      <c r="AK43" s="249">
        <v>0</v>
      </c>
    </row>
    <row r="44" spans="1:38" s="259" customFormat="1">
      <c r="A44" s="258" t="s">
        <v>196</v>
      </c>
      <c r="B44" s="352">
        <f t="shared" ref="B44:H44" si="0">B43*365</f>
        <v>7554.5339775085413</v>
      </c>
      <c r="C44" s="352">
        <f t="shared" si="0"/>
        <v>7580.3310108184905</v>
      </c>
      <c r="D44" s="352">
        <f t="shared" si="0"/>
        <v>7171.2278652191153</v>
      </c>
      <c r="E44" s="352">
        <f t="shared" si="0"/>
        <v>7088.7783050537164</v>
      </c>
      <c r="F44" s="353">
        <f t="shared" si="0"/>
        <v>7149.5953941345133</v>
      </c>
      <c r="G44" s="303">
        <f t="shared" si="0"/>
        <v>6912.5827950000003</v>
      </c>
      <c r="H44" s="303">
        <f t="shared" si="0"/>
        <v>6786.185485</v>
      </c>
      <c r="I44" s="303">
        <f t="shared" ref="I44:AJ44" si="1">I43*365</f>
        <v>6929.6414350000005</v>
      </c>
      <c r="J44" s="303">
        <f t="shared" si="1"/>
        <v>6867.5629650000001</v>
      </c>
      <c r="K44" s="303">
        <f t="shared" si="1"/>
        <v>6992.4677899999997</v>
      </c>
      <c r="L44" s="303">
        <f t="shared" si="1"/>
        <v>7066.0167499999998</v>
      </c>
      <c r="M44" s="303">
        <f t="shared" si="1"/>
        <v>7109.2984500000002</v>
      </c>
      <c r="N44" s="303">
        <f t="shared" si="1"/>
        <v>7127.5772850000003</v>
      </c>
      <c r="O44" s="303">
        <f t="shared" si="1"/>
        <v>7130.4432650000008</v>
      </c>
      <c r="P44" s="303">
        <f t="shared" si="1"/>
        <v>7124.9339550000004</v>
      </c>
      <c r="Q44" s="303">
        <f t="shared" si="1"/>
        <v>7109.1374850000002</v>
      </c>
      <c r="R44" s="303">
        <f t="shared" si="1"/>
        <v>7094.8002850000003</v>
      </c>
      <c r="S44" s="303">
        <f t="shared" si="1"/>
        <v>7076.8999550000008</v>
      </c>
      <c r="T44" s="303">
        <f t="shared" si="1"/>
        <v>7055.4562050000004</v>
      </c>
      <c r="U44" s="303">
        <f t="shared" si="1"/>
        <v>7030.7460700000001</v>
      </c>
      <c r="V44" s="303">
        <f t="shared" si="1"/>
        <v>7000.2776949999998</v>
      </c>
      <c r="W44" s="303">
        <f t="shared" si="1"/>
        <v>6978.5350100000005</v>
      </c>
      <c r="X44" s="303">
        <f t="shared" si="1"/>
        <v>6956.8587550000002</v>
      </c>
      <c r="Y44" s="303">
        <f t="shared" si="1"/>
        <v>6927.9325050000007</v>
      </c>
      <c r="Z44" s="303">
        <f t="shared" si="1"/>
        <v>6908.05278</v>
      </c>
      <c r="AA44" s="303">
        <f t="shared" si="1"/>
        <v>6891.4836049999994</v>
      </c>
      <c r="AB44" s="303">
        <f t="shared" si="1"/>
        <v>6875.903945</v>
      </c>
      <c r="AC44" s="303">
        <f t="shared" si="1"/>
        <v>6860.3377899999996</v>
      </c>
      <c r="AD44" s="303">
        <f t="shared" si="1"/>
        <v>6850.4360700000007</v>
      </c>
      <c r="AE44" s="303">
        <f t="shared" si="1"/>
        <v>6844.43912</v>
      </c>
      <c r="AF44" s="303">
        <f t="shared" si="1"/>
        <v>6837.1475149999997</v>
      </c>
      <c r="AG44" s="303">
        <f t="shared" si="1"/>
        <v>6841.326035000001</v>
      </c>
      <c r="AH44" s="303">
        <f t="shared" si="1"/>
        <v>6845.7501999999995</v>
      </c>
      <c r="AI44" s="303">
        <f t="shared" si="1"/>
        <v>6843.21126</v>
      </c>
      <c r="AJ44" s="303">
        <f t="shared" si="1"/>
        <v>6834.6111300000002</v>
      </c>
      <c r="AK44" s="304"/>
    </row>
    <row r="45" spans="1:38" s="263" customFormat="1">
      <c r="A45" s="262" t="s">
        <v>187</v>
      </c>
      <c r="B45" s="354">
        <f>SUM(B33,B36,B40)</f>
        <v>0.28962799347937102</v>
      </c>
      <c r="C45" s="354">
        <f t="shared" ref="C45:AJ45" si="2">SUM(C33,C36,C40)</f>
        <v>0.43539400026202169</v>
      </c>
      <c r="D45" s="354">
        <f t="shared" si="2"/>
        <v>0.63372322544455517</v>
      </c>
      <c r="E45" s="354">
        <f t="shared" si="2"/>
        <v>0.75007860735058762</v>
      </c>
      <c r="F45" s="355">
        <f t="shared" si="2"/>
        <v>0.9057262316346173</v>
      </c>
      <c r="G45" s="305">
        <f t="shared" si="2"/>
        <v>0.94907600000000003</v>
      </c>
      <c r="H45" s="305">
        <f t="shared" si="2"/>
        <v>0.91023695269873739</v>
      </c>
      <c r="I45" s="305">
        <f t="shared" si="2"/>
        <v>0.92228495555433621</v>
      </c>
      <c r="J45" s="305">
        <f t="shared" si="2"/>
        <v>0.96492762480044358</v>
      </c>
      <c r="K45" s="305">
        <f t="shared" si="2"/>
        <v>0.91143528058296441</v>
      </c>
      <c r="L45" s="305">
        <f t="shared" si="2"/>
        <v>0.91577698834717269</v>
      </c>
      <c r="M45" s="305">
        <f t="shared" si="2"/>
        <v>0.93473461444938177</v>
      </c>
      <c r="N45" s="305">
        <f t="shared" si="2"/>
        <v>0.94681856741356851</v>
      </c>
      <c r="O45" s="305">
        <f t="shared" si="2"/>
        <v>0.96443668409037586</v>
      </c>
      <c r="P45" s="305">
        <f t="shared" si="2"/>
        <v>0.99222728428125384</v>
      </c>
      <c r="Q45" s="305">
        <f t="shared" si="2"/>
        <v>1.0172315333738331</v>
      </c>
      <c r="R45" s="305">
        <f t="shared" si="2"/>
        <v>1.0595427470493322</v>
      </c>
      <c r="S45" s="305">
        <f t="shared" si="2"/>
        <v>1.0990673746757511</v>
      </c>
      <c r="T45" s="305">
        <f t="shared" si="2"/>
        <v>1.1357882964591981</v>
      </c>
      <c r="U45" s="305">
        <f t="shared" si="2"/>
        <v>1.1671623605079651</v>
      </c>
      <c r="V45" s="305">
        <f t="shared" si="2"/>
        <v>1.1953814529209139</v>
      </c>
      <c r="W45" s="305">
        <f t="shared" si="2"/>
        <v>1.2190545287761689</v>
      </c>
      <c r="X45" s="305">
        <f t="shared" si="2"/>
        <v>1.2370769195156099</v>
      </c>
      <c r="Y45" s="305">
        <f t="shared" si="2"/>
        <v>1.2497896171054839</v>
      </c>
      <c r="Z45" s="305">
        <f t="shared" si="2"/>
        <v>1.2591873761386871</v>
      </c>
      <c r="AA45" s="305">
        <f t="shared" si="2"/>
        <v>0.93299300000000007</v>
      </c>
      <c r="AB45" s="305">
        <f t="shared" si="2"/>
        <v>0.93298100000000006</v>
      </c>
      <c r="AC45" s="305">
        <f t="shared" si="2"/>
        <v>0.93309600000000004</v>
      </c>
      <c r="AD45" s="305">
        <f t="shared" si="2"/>
        <v>0.93309600000000004</v>
      </c>
      <c r="AE45" s="305">
        <f t="shared" si="2"/>
        <v>0.93084500000000003</v>
      </c>
      <c r="AF45" s="305">
        <f t="shared" si="2"/>
        <v>0.92709399999999997</v>
      </c>
      <c r="AG45" s="305">
        <f t="shared" si="2"/>
        <v>0.92458599999999991</v>
      </c>
      <c r="AH45" s="305">
        <f t="shared" si="2"/>
        <v>0.92581500000000005</v>
      </c>
      <c r="AI45" s="305">
        <f t="shared" si="2"/>
        <v>0.93603499999999995</v>
      </c>
      <c r="AJ45" s="305">
        <f t="shared" si="2"/>
        <v>0.94016100000000002</v>
      </c>
      <c r="AK45" s="306"/>
    </row>
    <row r="46" spans="1:38" s="259" customFormat="1">
      <c r="A46" s="264" t="s">
        <v>193</v>
      </c>
      <c r="B46" s="350">
        <f>B45*365</f>
        <v>105.71421761997043</v>
      </c>
      <c r="C46" s="350">
        <f t="shared" ref="C46:AJ46" si="3">C45*365</f>
        <v>158.91881009563792</v>
      </c>
      <c r="D46" s="350">
        <f t="shared" si="3"/>
        <v>231.30897728726265</v>
      </c>
      <c r="E46" s="350">
        <f t="shared" si="3"/>
        <v>273.77869168296451</v>
      </c>
      <c r="F46" s="351">
        <f t="shared" si="3"/>
        <v>330.59007454663532</v>
      </c>
      <c r="G46" s="307">
        <f t="shared" si="3"/>
        <v>346.41273999999999</v>
      </c>
      <c r="H46" s="307">
        <f t="shared" si="3"/>
        <v>332.23648773503913</v>
      </c>
      <c r="I46" s="307">
        <f t="shared" si="3"/>
        <v>336.63400877733272</v>
      </c>
      <c r="J46" s="307">
        <f t="shared" si="3"/>
        <v>352.19858305216189</v>
      </c>
      <c r="K46" s="307">
        <f t="shared" si="3"/>
        <v>332.67387741278202</v>
      </c>
      <c r="L46" s="307">
        <f t="shared" si="3"/>
        <v>334.25860074671806</v>
      </c>
      <c r="M46" s="307">
        <f t="shared" si="3"/>
        <v>341.17813427402433</v>
      </c>
      <c r="N46" s="307">
        <f t="shared" si="3"/>
        <v>345.58877710595249</v>
      </c>
      <c r="O46" s="307">
        <f t="shared" si="3"/>
        <v>352.0193896929872</v>
      </c>
      <c r="P46" s="307">
        <f t="shared" si="3"/>
        <v>362.16295876265764</v>
      </c>
      <c r="Q46" s="307">
        <f t="shared" si="3"/>
        <v>371.28950968144909</v>
      </c>
      <c r="R46" s="307">
        <f t="shared" si="3"/>
        <v>386.73310267300621</v>
      </c>
      <c r="S46" s="307">
        <f t="shared" si="3"/>
        <v>401.15959175664915</v>
      </c>
      <c r="T46" s="307">
        <f t="shared" si="3"/>
        <v>414.56272820760728</v>
      </c>
      <c r="U46" s="307">
        <f t="shared" si="3"/>
        <v>426.01426158540727</v>
      </c>
      <c r="V46" s="307">
        <f t="shared" si="3"/>
        <v>436.3142303161336</v>
      </c>
      <c r="W46" s="307">
        <f t="shared" si="3"/>
        <v>444.95490300330164</v>
      </c>
      <c r="X46" s="307">
        <f t="shared" si="3"/>
        <v>451.53307562319765</v>
      </c>
      <c r="Y46" s="307">
        <f t="shared" si="3"/>
        <v>456.17321024350161</v>
      </c>
      <c r="Z46" s="307">
        <f t="shared" si="3"/>
        <v>459.60339229062083</v>
      </c>
      <c r="AA46" s="307">
        <f t="shared" si="3"/>
        <v>340.54244500000004</v>
      </c>
      <c r="AB46" s="307">
        <f t="shared" si="3"/>
        <v>340.53806500000002</v>
      </c>
      <c r="AC46" s="307">
        <f t="shared" si="3"/>
        <v>340.58004</v>
      </c>
      <c r="AD46" s="307">
        <f t="shared" si="3"/>
        <v>340.58004</v>
      </c>
      <c r="AE46" s="307">
        <f t="shared" si="3"/>
        <v>339.75842499999999</v>
      </c>
      <c r="AF46" s="307">
        <f t="shared" si="3"/>
        <v>338.38930999999997</v>
      </c>
      <c r="AG46" s="307">
        <f t="shared" si="3"/>
        <v>337.47388999999998</v>
      </c>
      <c r="AH46" s="307">
        <f t="shared" si="3"/>
        <v>337.92247500000002</v>
      </c>
      <c r="AI46" s="307">
        <f t="shared" si="3"/>
        <v>341.65277499999996</v>
      </c>
      <c r="AJ46" s="307">
        <f t="shared" si="3"/>
        <v>343.15876500000002</v>
      </c>
      <c r="AK46" s="304"/>
    </row>
    <row r="47" spans="1:38" s="259" customFormat="1">
      <c r="A47" s="264" t="s">
        <v>192</v>
      </c>
      <c r="B47" s="350"/>
      <c r="C47" s="356">
        <f>C46/B46-1</f>
        <v>0.50328700976562524</v>
      </c>
      <c r="D47" s="356">
        <f t="shared" ref="D47:Z47" si="4">D46/C46-1</f>
        <v>0.45551667010381003</v>
      </c>
      <c r="E47" s="356">
        <f t="shared" si="4"/>
        <v>0.1836059927019551</v>
      </c>
      <c r="F47" s="357">
        <f t="shared" si="4"/>
        <v>0.20750841679621423</v>
      </c>
      <c r="G47" s="308"/>
      <c r="H47" s="308">
        <f t="shared" si="4"/>
        <v>-4.0923010698050155E-2</v>
      </c>
      <c r="I47" s="308">
        <f t="shared" si="4"/>
        <v>1.32361170570785E-2</v>
      </c>
      <c r="J47" s="308">
        <f t="shared" si="4"/>
        <v>4.6235893786727766E-2</v>
      </c>
      <c r="K47" s="308">
        <f t="shared" si="4"/>
        <v>-5.5436638813757488E-2</v>
      </c>
      <c r="L47" s="308">
        <f t="shared" si="4"/>
        <v>4.7635941428900708E-3</v>
      </c>
      <c r="M47" s="308">
        <f t="shared" si="4"/>
        <v>2.0701138315807999E-2</v>
      </c>
      <c r="N47" s="308">
        <f t="shared" si="4"/>
        <v>1.2927683191988004E-2</v>
      </c>
      <c r="O47" s="308">
        <f t="shared" si="4"/>
        <v>1.8607700866001275E-2</v>
      </c>
      <c r="P47" s="308">
        <f t="shared" si="4"/>
        <v>2.8815370308201249E-2</v>
      </c>
      <c r="Q47" s="308">
        <f t="shared" si="4"/>
        <v>2.5200122480699472E-2</v>
      </c>
      <c r="R47" s="308">
        <f t="shared" si="4"/>
        <v>4.1594477055942436E-2</v>
      </c>
      <c r="S47" s="308">
        <f t="shared" si="4"/>
        <v>3.730347618016272E-2</v>
      </c>
      <c r="T47" s="308">
        <f t="shared" si="4"/>
        <v>3.3410983375137038E-2</v>
      </c>
      <c r="U47" s="308">
        <f t="shared" si="4"/>
        <v>2.762316194538661E-2</v>
      </c>
      <c r="V47" s="308">
        <f t="shared" si="4"/>
        <v>2.4177520941188968E-2</v>
      </c>
      <c r="W47" s="308">
        <f t="shared" si="4"/>
        <v>1.9803783802575969E-2</v>
      </c>
      <c r="X47" s="308">
        <f t="shared" si="4"/>
        <v>1.4783908606232909E-2</v>
      </c>
      <c r="Y47" s="308">
        <f t="shared" si="4"/>
        <v>1.0276400270123665E-2</v>
      </c>
      <c r="Z47" s="308">
        <f t="shared" si="4"/>
        <v>7.5194728013252554E-3</v>
      </c>
      <c r="AA47" s="308">
        <f t="shared" ref="AA47:AJ47" si="5">AA46/Z46-1</f>
        <v>-0.25905149806930716</v>
      </c>
      <c r="AB47" s="308">
        <f t="shared" si="5"/>
        <v>-1.2861832832666842E-5</v>
      </c>
      <c r="AC47" s="308">
        <f t="shared" si="5"/>
        <v>1.2326081667257682E-4</v>
      </c>
      <c r="AD47" s="308">
        <f t="shared" si="5"/>
        <v>0</v>
      </c>
      <c r="AE47" s="308">
        <f t="shared" si="5"/>
        <v>-2.412399152927458E-3</v>
      </c>
      <c r="AF47" s="308">
        <f t="shared" si="5"/>
        <v>-4.0296719647202606E-3</v>
      </c>
      <c r="AG47" s="308">
        <f t="shared" si="5"/>
        <v>-2.7052273016543449E-3</v>
      </c>
      <c r="AH47" s="308">
        <f t="shared" si="5"/>
        <v>1.3292435749623355E-3</v>
      </c>
      <c r="AI47" s="308">
        <f t="shared" si="5"/>
        <v>1.1038922462910827E-2</v>
      </c>
      <c r="AJ47" s="308">
        <f t="shared" si="5"/>
        <v>4.4079548307489613E-3</v>
      </c>
      <c r="AK47" s="304"/>
    </row>
    <row r="48" spans="1:38" s="265" customFormat="1">
      <c r="A48" s="262" t="s">
        <v>195</v>
      </c>
      <c r="B48" s="358">
        <f>SUM(B33,B36,B40)/B43</f>
        <v>1.3993479668594277E-2</v>
      </c>
      <c r="C48" s="358">
        <f t="shared" ref="C48:AJ48" si="6">SUM(C33,C36,C40)/C43</f>
        <v>2.0964626725248844E-2</v>
      </c>
      <c r="D48" s="358">
        <f t="shared" si="6"/>
        <v>3.2255142582921545E-2</v>
      </c>
      <c r="E48" s="358">
        <f t="shared" si="6"/>
        <v>3.8621421054708789E-2</v>
      </c>
      <c r="F48" s="359">
        <f t="shared" si="6"/>
        <v>4.6238990645239793E-2</v>
      </c>
      <c r="G48" s="309">
        <f t="shared" si="6"/>
        <v>5.0113358533740354E-2</v>
      </c>
      <c r="H48" s="309">
        <f t="shared" si="6"/>
        <v>4.8957766991398283E-2</v>
      </c>
      <c r="I48" s="309">
        <f t="shared" si="6"/>
        <v>4.8578849560248959E-2</v>
      </c>
      <c r="J48" s="309">
        <f t="shared" si="6"/>
        <v>5.1284361693822764E-2</v>
      </c>
      <c r="K48" s="309">
        <f t="shared" si="6"/>
        <v>4.7576032869045506E-2</v>
      </c>
      <c r="L48" s="309">
        <f t="shared" si="6"/>
        <v>4.7305096007127075E-2</v>
      </c>
      <c r="M48" s="309">
        <f t="shared" si="6"/>
        <v>4.7990408149769591E-2</v>
      </c>
      <c r="N48" s="309">
        <f t="shared" si="6"/>
        <v>4.8486149400757073E-2</v>
      </c>
      <c r="O48" s="309">
        <f t="shared" si="6"/>
        <v>4.9368514215783074E-2</v>
      </c>
      <c r="P48" s="309">
        <f t="shared" si="6"/>
        <v>5.0830360119830421E-2</v>
      </c>
      <c r="Q48" s="309">
        <f t="shared" si="6"/>
        <v>5.2227082464624625E-2</v>
      </c>
      <c r="R48" s="310">
        <f t="shared" si="6"/>
        <v>5.4509371249060634E-2</v>
      </c>
      <c r="S48" s="309">
        <f t="shared" si="6"/>
        <v>5.6685779692733994E-2</v>
      </c>
      <c r="T48" s="309">
        <f t="shared" si="6"/>
        <v>5.8757749486676503E-2</v>
      </c>
      <c r="U48" s="309">
        <f t="shared" si="6"/>
        <v>6.059303768673973E-2</v>
      </c>
      <c r="V48" s="309">
        <f t="shared" si="6"/>
        <v>6.2328131729370427E-2</v>
      </c>
      <c r="W48" s="309">
        <f t="shared" si="6"/>
        <v>6.3760503080617439E-2</v>
      </c>
      <c r="X48" s="309">
        <f t="shared" si="6"/>
        <v>6.4904735244002754E-2</v>
      </c>
      <c r="Y48" s="309">
        <f t="shared" si="6"/>
        <v>6.5845504400378327E-2</v>
      </c>
      <c r="Z48" s="310">
        <f t="shared" si="6"/>
        <v>6.6531540352623181E-2</v>
      </c>
      <c r="AA48" s="310">
        <f t="shared" si="6"/>
        <v>4.9414968462367842E-2</v>
      </c>
      <c r="AB48" s="310">
        <f t="shared" si="6"/>
        <v>4.9526297592861444E-2</v>
      </c>
      <c r="AC48" s="310">
        <f t="shared" si="6"/>
        <v>4.9644791616011673E-2</v>
      </c>
      <c r="AD48" s="310">
        <f t="shared" si="6"/>
        <v>4.9716548920366761E-2</v>
      </c>
      <c r="AE48" s="310">
        <f t="shared" si="6"/>
        <v>4.9640068242728409E-2</v>
      </c>
      <c r="AF48" s="310">
        <f t="shared" si="6"/>
        <v>4.9492761309831122E-2</v>
      </c>
      <c r="AG48" s="310">
        <f t="shared" si="6"/>
        <v>4.932872490998011E-2</v>
      </c>
      <c r="AH48" s="310">
        <f t="shared" si="6"/>
        <v>4.9362373023777592E-2</v>
      </c>
      <c r="AI48" s="310">
        <f t="shared" si="6"/>
        <v>4.9925796825392763E-2</v>
      </c>
      <c r="AJ48" s="310">
        <f t="shared" si="6"/>
        <v>5.0208967046234856E-2</v>
      </c>
      <c r="AK48" s="311"/>
    </row>
    <row r="49" spans="1:37" s="265" customFormat="1">
      <c r="A49" s="265" t="s">
        <v>186</v>
      </c>
      <c r="B49" s="360">
        <f>B33*365 * 42/1000</f>
        <v>4.1895202937722189</v>
      </c>
      <c r="C49" s="360">
        <f t="shared" ref="C49:AJ49" si="7">C33*365 * 42/1000</f>
        <v>6.1835701614618239</v>
      </c>
      <c r="D49" s="360">
        <f t="shared" si="7"/>
        <v>8.9300929445028281</v>
      </c>
      <c r="E49" s="360">
        <f t="shared" si="7"/>
        <v>10.57340813040733</v>
      </c>
      <c r="F49" s="361">
        <f t="shared" si="7"/>
        <v>12.90469492435456</v>
      </c>
      <c r="G49" s="312">
        <f t="shared" si="7"/>
        <v>13.58201208</v>
      </c>
      <c r="H49" s="312">
        <f t="shared" si="7"/>
        <v>12.933246479999999</v>
      </c>
      <c r="I49" s="312">
        <f t="shared" si="7"/>
        <v>12.815159489999999</v>
      </c>
      <c r="J49" s="312">
        <f t="shared" si="7"/>
        <v>13.33685472</v>
      </c>
      <c r="K49" s="312">
        <f t="shared" si="7"/>
        <v>12.572746199999999</v>
      </c>
      <c r="L49" s="312">
        <f t="shared" si="7"/>
        <v>12.606410879999997</v>
      </c>
      <c r="M49" s="312">
        <f t="shared" si="7"/>
        <v>12.7724961</v>
      </c>
      <c r="N49" s="312">
        <f t="shared" si="7"/>
        <v>12.79849578</v>
      </c>
      <c r="O49" s="312">
        <f t="shared" si="7"/>
        <v>12.799660859999999</v>
      </c>
      <c r="P49" s="312">
        <f t="shared" si="7"/>
        <v>12.883423980000002</v>
      </c>
      <c r="Q49" s="312">
        <f t="shared" si="7"/>
        <v>12.857041049999999</v>
      </c>
      <c r="R49" s="312">
        <f t="shared" si="7"/>
        <v>13.0113375</v>
      </c>
      <c r="S49" s="312">
        <f t="shared" si="7"/>
        <v>13.097829360000002</v>
      </c>
      <c r="T49" s="312">
        <f t="shared" si="7"/>
        <v>13.097599410000003</v>
      </c>
      <c r="U49" s="312">
        <f t="shared" si="7"/>
        <v>13.09776804</v>
      </c>
      <c r="V49" s="312">
        <f t="shared" si="7"/>
        <v>13.097829360000002</v>
      </c>
      <c r="W49" s="312">
        <f t="shared" si="7"/>
        <v>13.1106759</v>
      </c>
      <c r="X49" s="312">
        <f t="shared" si="7"/>
        <v>13.120134510000002</v>
      </c>
      <c r="Y49" s="312">
        <f t="shared" si="7"/>
        <v>13.11995055</v>
      </c>
      <c r="Z49" s="312">
        <f t="shared" si="7"/>
        <v>13.120134510000002</v>
      </c>
      <c r="AA49" s="312">
        <f t="shared" si="7"/>
        <v>13.120134510000002</v>
      </c>
      <c r="AB49" s="312">
        <f t="shared" si="7"/>
        <v>13.11995055</v>
      </c>
      <c r="AC49" s="312">
        <f t="shared" si="7"/>
        <v>13.11995055</v>
      </c>
      <c r="AD49" s="312">
        <f t="shared" si="7"/>
        <v>13.11995055</v>
      </c>
      <c r="AE49" s="312">
        <f t="shared" si="7"/>
        <v>13.08544272</v>
      </c>
      <c r="AF49" s="312">
        <f t="shared" si="7"/>
        <v>13.027939889999997</v>
      </c>
      <c r="AG49" s="312">
        <f t="shared" si="7"/>
        <v>12.993324749999999</v>
      </c>
      <c r="AH49" s="312">
        <f t="shared" si="7"/>
        <v>13.008332820000001</v>
      </c>
      <c r="AI49" s="312">
        <f t="shared" si="7"/>
        <v>13.168837920000001</v>
      </c>
      <c r="AJ49" s="312">
        <f t="shared" si="7"/>
        <v>13.226494050000001</v>
      </c>
      <c r="AK49" s="313"/>
    </row>
    <row r="50" spans="1:37">
      <c r="A50" s="6" t="s">
        <v>160</v>
      </c>
      <c r="R50" s="299" t="s">
        <v>0</v>
      </c>
    </row>
    <row r="51" spans="1:37">
      <c r="A51" s="6" t="s">
        <v>159</v>
      </c>
    </row>
    <row r="52" spans="1:37">
      <c r="A52" s="6" t="s">
        <v>695</v>
      </c>
      <c r="B52" s="348">
        <v>2.0520000457763699</v>
      </c>
      <c r="C52" s="348">
        <v>2.08500003814697</v>
      </c>
      <c r="D52" s="348">
        <v>2.02300000190735</v>
      </c>
      <c r="E52" s="348">
        <v>1.9900000095367401</v>
      </c>
      <c r="F52" s="349">
        <v>1.9984494447708101</v>
      </c>
      <c r="G52" s="293">
        <v>2.3039999999999998</v>
      </c>
      <c r="H52" s="293">
        <v>2.3239999999999998</v>
      </c>
      <c r="I52" s="293">
        <v>2.407</v>
      </c>
      <c r="J52" s="293">
        <v>2.4159999999999999</v>
      </c>
      <c r="K52" s="293">
        <v>2.4498690000000001</v>
      </c>
      <c r="L52" s="293">
        <v>2.5403880000000001</v>
      </c>
      <c r="M52" s="293">
        <v>2.599494</v>
      </c>
      <c r="N52" s="293">
        <v>2.6464240000000001</v>
      </c>
      <c r="O52" s="293">
        <v>2.693587</v>
      </c>
      <c r="P52" s="293">
        <v>2.7283230000000001</v>
      </c>
      <c r="Q52" s="293">
        <v>2.742324</v>
      </c>
      <c r="R52" s="293">
        <v>2.7799209999999999</v>
      </c>
      <c r="S52" s="293">
        <v>2.8150529999999998</v>
      </c>
      <c r="T52" s="293">
        <v>2.8347359999999999</v>
      </c>
      <c r="U52" s="293">
        <v>2.8433090000000001</v>
      </c>
      <c r="V52" s="293">
        <v>2.840814</v>
      </c>
      <c r="W52" s="293">
        <v>2.844868</v>
      </c>
      <c r="X52" s="293">
        <v>2.8578079999999999</v>
      </c>
      <c r="Y52" s="293">
        <v>2.8486820000000002</v>
      </c>
      <c r="Z52" s="293">
        <v>2.8402569999999998</v>
      </c>
      <c r="AA52" s="293">
        <v>2.8361179999999999</v>
      </c>
      <c r="AB52" s="293">
        <v>2.8308490000000002</v>
      </c>
      <c r="AC52" s="293">
        <v>2.8180170000000002</v>
      </c>
      <c r="AD52" s="293">
        <v>2.7924669999999998</v>
      </c>
      <c r="AE52" s="293">
        <v>2.7826710000000001</v>
      </c>
      <c r="AF52" s="293">
        <v>2.76675</v>
      </c>
      <c r="AG52" s="293">
        <v>2.7715809999999999</v>
      </c>
      <c r="AH52" s="293">
        <v>2.7629000000000001</v>
      </c>
      <c r="AI52" s="293">
        <v>2.7495129999999999</v>
      </c>
      <c r="AJ52" s="293">
        <v>2.7286790000000001</v>
      </c>
      <c r="AK52" s="294">
        <v>6.0000000000000001E-3</v>
      </c>
    </row>
    <row r="53" spans="1:37">
      <c r="A53" s="6" t="s">
        <v>694</v>
      </c>
      <c r="B53" s="348">
        <v>8.6600880604237296E-4</v>
      </c>
      <c r="C53" s="348">
        <v>1.0510511929169299E-3</v>
      </c>
      <c r="D53" s="348">
        <v>8.0768426414579196E-4</v>
      </c>
      <c r="E53" s="348">
        <v>4.3171385186724403E-4</v>
      </c>
      <c r="F53" s="349">
        <v>1.8219171324744801E-3</v>
      </c>
      <c r="G53" s="293">
        <v>1.882E-3</v>
      </c>
      <c r="H53" s="293">
        <v>9.8740000000000008E-3</v>
      </c>
      <c r="I53" s="293">
        <v>1.3136999999999999E-2</v>
      </c>
      <c r="J53" s="293">
        <v>1.4973999999999999E-2</v>
      </c>
      <c r="K53" s="293">
        <v>1.2047E-2</v>
      </c>
      <c r="L53" s="293">
        <v>2.5141E-2</v>
      </c>
      <c r="M53" s="293">
        <v>5.3563E-2</v>
      </c>
      <c r="N53" s="293">
        <v>8.0305000000000001E-2</v>
      </c>
      <c r="O53" s="293">
        <v>0.10901</v>
      </c>
      <c r="P53" s="293">
        <v>0.13106100000000001</v>
      </c>
      <c r="Q53" s="293">
        <v>0.162138</v>
      </c>
      <c r="R53" s="293">
        <v>0.20447299999999999</v>
      </c>
      <c r="S53" s="293">
        <v>0.22256600000000001</v>
      </c>
      <c r="T53" s="293">
        <v>0.242672</v>
      </c>
      <c r="U53" s="293">
        <v>0.26248500000000002</v>
      </c>
      <c r="V53" s="293">
        <v>0.279335</v>
      </c>
      <c r="W53" s="293">
        <v>0.29406700000000002</v>
      </c>
      <c r="X53" s="293">
        <v>0.30546400000000001</v>
      </c>
      <c r="Y53" s="293">
        <v>0.31323699999999999</v>
      </c>
      <c r="Z53" s="293">
        <v>0.31872699999999998</v>
      </c>
      <c r="AA53" s="293">
        <v>0.321052</v>
      </c>
      <c r="AB53" s="293">
        <v>0.31902700000000001</v>
      </c>
      <c r="AC53" s="293">
        <v>0.31467200000000001</v>
      </c>
      <c r="AD53" s="293">
        <v>0.30996699999999999</v>
      </c>
      <c r="AE53" s="293">
        <v>0.29748400000000003</v>
      </c>
      <c r="AF53" s="293">
        <v>0.28148600000000001</v>
      </c>
      <c r="AG53" s="293">
        <v>0.26450099999999999</v>
      </c>
      <c r="AH53" s="293">
        <v>0.245667</v>
      </c>
      <c r="AI53" s="293">
        <v>0.23741399999999999</v>
      </c>
      <c r="AJ53" s="293">
        <v>0.22813</v>
      </c>
      <c r="AK53" s="294">
        <v>0.11899999999999999</v>
      </c>
    </row>
    <row r="54" spans="1:37">
      <c r="A54" s="6" t="s">
        <v>696</v>
      </c>
      <c r="B54" s="348">
        <v>9.2527751922607404</v>
      </c>
      <c r="C54" s="348">
        <v>9.2857265472412092</v>
      </c>
      <c r="D54" s="348">
        <v>9.0097904205322301</v>
      </c>
      <c r="E54" s="348">
        <v>8.9638872146606392</v>
      </c>
      <c r="F54" s="349">
        <v>9.3608798980712908</v>
      </c>
      <c r="G54" s="293">
        <v>8.7543939999999996</v>
      </c>
      <c r="H54" s="293">
        <v>8.7103070000000002</v>
      </c>
      <c r="I54" s="293">
        <v>8.7047209999999993</v>
      </c>
      <c r="J54" s="293">
        <v>8.6720810000000004</v>
      </c>
      <c r="K54" s="293">
        <v>8.7711889999999997</v>
      </c>
      <c r="L54" s="293">
        <v>8.7249210000000001</v>
      </c>
      <c r="M54" s="293">
        <v>8.665521</v>
      </c>
      <c r="N54" s="293">
        <v>8.5782380000000007</v>
      </c>
      <c r="O54" s="293">
        <v>8.4654989999999994</v>
      </c>
      <c r="P54" s="293">
        <v>8.3493230000000001</v>
      </c>
      <c r="Q54" s="293">
        <v>8.2274130000000003</v>
      </c>
      <c r="R54" s="293">
        <v>8.1002519999999993</v>
      </c>
      <c r="S54" s="293">
        <v>7.9630890000000001</v>
      </c>
      <c r="T54" s="293">
        <v>7.8215009999999996</v>
      </c>
      <c r="U54" s="293">
        <v>7.6724129999999997</v>
      </c>
      <c r="V54" s="293">
        <v>7.5382249999999997</v>
      </c>
      <c r="W54" s="293">
        <v>7.4181600000000003</v>
      </c>
      <c r="X54" s="293">
        <v>7.3157300000000003</v>
      </c>
      <c r="Y54" s="293">
        <v>7.224996</v>
      </c>
      <c r="Z54" s="293">
        <v>7.1462729999999999</v>
      </c>
      <c r="AA54" s="293">
        <v>7.080946</v>
      </c>
      <c r="AB54" s="293">
        <v>7.0268600000000001</v>
      </c>
      <c r="AC54" s="293">
        <v>6.9825390000000001</v>
      </c>
      <c r="AD54" s="293">
        <v>6.943378</v>
      </c>
      <c r="AE54" s="293">
        <v>6.9093359999999997</v>
      </c>
      <c r="AF54" s="293">
        <v>6.8818789999999996</v>
      </c>
      <c r="AG54" s="293">
        <v>6.8622290000000001</v>
      </c>
      <c r="AH54" s="293">
        <v>6.8497510000000004</v>
      </c>
      <c r="AI54" s="293">
        <v>6.8444979999999997</v>
      </c>
      <c r="AJ54" s="293">
        <v>6.8408179999999996</v>
      </c>
      <c r="AK54" s="294">
        <v>-8.9999999999999993E-3</v>
      </c>
    </row>
    <row r="55" spans="1:37">
      <c r="A55" s="6" t="s">
        <v>697</v>
      </c>
      <c r="B55" s="348">
        <v>1.63300001621246</v>
      </c>
      <c r="C55" s="348">
        <v>1.6219999790191699</v>
      </c>
      <c r="D55" s="348">
        <v>1.5329999923706099</v>
      </c>
      <c r="E55" s="348">
        <v>1.47300004959106</v>
      </c>
      <c r="F55" s="349">
        <v>1.45558297634125</v>
      </c>
      <c r="G55" s="293">
        <v>1.425</v>
      </c>
      <c r="H55" s="293">
        <v>1.399</v>
      </c>
      <c r="I55" s="293">
        <v>1.4039999999999999</v>
      </c>
      <c r="J55" s="293">
        <v>1.4059999999999999</v>
      </c>
      <c r="K55" s="293">
        <v>1.459821</v>
      </c>
      <c r="L55" s="293">
        <v>1.466666</v>
      </c>
      <c r="M55" s="293">
        <v>1.4738910000000001</v>
      </c>
      <c r="N55" s="293">
        <v>1.4802960000000001</v>
      </c>
      <c r="O55" s="293">
        <v>1.4860789999999999</v>
      </c>
      <c r="P55" s="293">
        <v>1.491026</v>
      </c>
      <c r="Q55" s="293">
        <v>1.496483</v>
      </c>
      <c r="R55" s="293">
        <v>1.5023390000000001</v>
      </c>
      <c r="S55" s="293">
        <v>1.5080819999999999</v>
      </c>
      <c r="T55" s="293">
        <v>1.514818</v>
      </c>
      <c r="U55" s="293">
        <v>1.5222910000000001</v>
      </c>
      <c r="V55" s="293">
        <v>1.529134</v>
      </c>
      <c r="W55" s="293">
        <v>1.5350699999999999</v>
      </c>
      <c r="X55" s="293">
        <v>1.540705</v>
      </c>
      <c r="Y55" s="293">
        <v>1.5457909999999999</v>
      </c>
      <c r="Z55" s="293">
        <v>1.550583</v>
      </c>
      <c r="AA55" s="293">
        <v>1.555024</v>
      </c>
      <c r="AB55" s="293">
        <v>1.559142</v>
      </c>
      <c r="AC55" s="293">
        <v>1.562889</v>
      </c>
      <c r="AD55" s="293">
        <v>1.5661639999999999</v>
      </c>
      <c r="AE55" s="293">
        <v>1.5691090000000001</v>
      </c>
      <c r="AF55" s="293">
        <v>1.5733360000000001</v>
      </c>
      <c r="AG55" s="293">
        <v>1.577515</v>
      </c>
      <c r="AH55" s="293">
        <v>1.5816300000000001</v>
      </c>
      <c r="AI55" s="293">
        <v>1.585529</v>
      </c>
      <c r="AJ55" s="293">
        <v>1.5896079999999999</v>
      </c>
      <c r="AK55" s="294">
        <v>5.0000000000000001E-3</v>
      </c>
    </row>
    <row r="56" spans="1:37">
      <c r="A56" s="6" t="s">
        <v>698</v>
      </c>
      <c r="B56" s="348">
        <v>4.1690001487731898</v>
      </c>
      <c r="C56" s="348">
        <v>4.1960000991821298</v>
      </c>
      <c r="D56" s="348">
        <v>3.9430000782012899</v>
      </c>
      <c r="E56" s="348">
        <v>3.90199995040894</v>
      </c>
      <c r="F56" s="349">
        <v>4.0923304557800302</v>
      </c>
      <c r="G56" s="293">
        <v>3.899</v>
      </c>
      <c r="H56" s="293">
        <v>3.7429999999999999</v>
      </c>
      <c r="I56" s="293">
        <v>3.859</v>
      </c>
      <c r="J56" s="293">
        <v>3.9089999999999998</v>
      </c>
      <c r="K56" s="293">
        <v>4.0858679999999996</v>
      </c>
      <c r="L56" s="293">
        <v>4.177359</v>
      </c>
      <c r="M56" s="293">
        <v>4.228364</v>
      </c>
      <c r="N56" s="293">
        <v>4.2508220000000003</v>
      </c>
      <c r="O56" s="293">
        <v>4.2730649999999999</v>
      </c>
      <c r="P56" s="293">
        <v>4.295331</v>
      </c>
      <c r="Q56" s="293">
        <v>4.319947</v>
      </c>
      <c r="R56" s="293">
        <v>4.3484850000000002</v>
      </c>
      <c r="S56" s="293">
        <v>4.3784619999999999</v>
      </c>
      <c r="T56" s="293">
        <v>4.4044730000000003</v>
      </c>
      <c r="U56" s="293">
        <v>4.436998</v>
      </c>
      <c r="V56" s="293">
        <v>4.460839</v>
      </c>
      <c r="W56" s="293">
        <v>4.4796500000000004</v>
      </c>
      <c r="X56" s="293">
        <v>4.4870289999999997</v>
      </c>
      <c r="Y56" s="293">
        <v>4.4989540000000003</v>
      </c>
      <c r="Z56" s="293">
        <v>4.5163840000000004</v>
      </c>
      <c r="AA56" s="293">
        <v>4.5280180000000003</v>
      </c>
      <c r="AB56" s="293">
        <v>4.5344899999999999</v>
      </c>
      <c r="AC56" s="293">
        <v>4.5444589999999998</v>
      </c>
      <c r="AD56" s="293">
        <v>4.5662190000000002</v>
      </c>
      <c r="AE56" s="293">
        <v>4.5865479999999996</v>
      </c>
      <c r="AF56" s="293">
        <v>4.5978500000000002</v>
      </c>
      <c r="AG56" s="293">
        <v>4.6070399999999996</v>
      </c>
      <c r="AH56" s="293">
        <v>4.6156879999999996</v>
      </c>
      <c r="AI56" s="293">
        <v>4.6224400000000001</v>
      </c>
      <c r="AJ56" s="293">
        <v>4.6207630000000002</v>
      </c>
      <c r="AK56" s="294">
        <v>8.0000000000000002E-3</v>
      </c>
    </row>
    <row r="57" spans="1:37">
      <c r="A57" s="6" t="s">
        <v>158</v>
      </c>
      <c r="B57" s="348">
        <v>3.21000003814697</v>
      </c>
      <c r="C57" s="348">
        <v>3.4670000076293901</v>
      </c>
      <c r="D57" s="348">
        <v>3.46799993515015</v>
      </c>
      <c r="E57" s="348">
        <v>3.4189999103546098</v>
      </c>
      <c r="F57" s="349">
        <v>3.47832202911377</v>
      </c>
      <c r="G57" s="293">
        <v>3.5059999999999998</v>
      </c>
      <c r="H57" s="293">
        <v>3.448</v>
      </c>
      <c r="I57" s="293">
        <v>3.5550000000000002</v>
      </c>
      <c r="J57" s="293">
        <v>3.601</v>
      </c>
      <c r="K57" s="293">
        <v>3.6780590000000002</v>
      </c>
      <c r="L57" s="293">
        <v>3.788999</v>
      </c>
      <c r="M57" s="293">
        <v>3.841418</v>
      </c>
      <c r="N57" s="293">
        <v>3.888255</v>
      </c>
      <c r="O57" s="293">
        <v>3.9148960000000002</v>
      </c>
      <c r="P57" s="293">
        <v>3.942434</v>
      </c>
      <c r="Q57" s="293">
        <v>3.9721639999999998</v>
      </c>
      <c r="R57" s="293">
        <v>4.005528</v>
      </c>
      <c r="S57" s="293">
        <v>4.0400039999999997</v>
      </c>
      <c r="T57" s="293">
        <v>4.0698509999999999</v>
      </c>
      <c r="U57" s="293">
        <v>4.1063919999999996</v>
      </c>
      <c r="V57" s="293">
        <v>4.1354759999999997</v>
      </c>
      <c r="W57" s="293">
        <v>4.1591009999999997</v>
      </c>
      <c r="X57" s="293">
        <v>4.1709329999999998</v>
      </c>
      <c r="Y57" s="293">
        <v>4.1869290000000001</v>
      </c>
      <c r="Z57" s="293">
        <v>4.2079300000000002</v>
      </c>
      <c r="AA57" s="293">
        <v>4.2245819999999998</v>
      </c>
      <c r="AB57" s="293">
        <v>4.2349610000000002</v>
      </c>
      <c r="AC57" s="293">
        <v>4.2486269999999999</v>
      </c>
      <c r="AD57" s="293">
        <v>4.2736000000000001</v>
      </c>
      <c r="AE57" s="293">
        <v>4.2970110000000004</v>
      </c>
      <c r="AF57" s="293">
        <v>4.3111389999999998</v>
      </c>
      <c r="AG57" s="293">
        <v>4.3229870000000004</v>
      </c>
      <c r="AH57" s="293">
        <v>4.3342970000000003</v>
      </c>
      <c r="AI57" s="293">
        <v>4.3436260000000004</v>
      </c>
      <c r="AJ57" s="293">
        <v>4.344544</v>
      </c>
      <c r="AK57" s="294">
        <v>8.0000000000000002E-3</v>
      </c>
    </row>
    <row r="58" spans="1:37">
      <c r="A58" s="6" t="s">
        <v>157</v>
      </c>
      <c r="B58" s="348">
        <v>0.68900001049041704</v>
      </c>
      <c r="C58" s="348">
        <v>0.72299998998642001</v>
      </c>
      <c r="D58" s="348">
        <v>0.60799998044967696</v>
      </c>
      <c r="E58" s="348">
        <v>0.58099997043609597</v>
      </c>
      <c r="F58" s="349">
        <v>0.63298153877258301</v>
      </c>
      <c r="G58" s="293">
        <v>0.46100000000000002</v>
      </c>
      <c r="H58" s="293">
        <v>0.34499999999999997</v>
      </c>
      <c r="I58" s="293">
        <v>0.32200000000000001</v>
      </c>
      <c r="J58" s="293">
        <v>0.35</v>
      </c>
      <c r="K58" s="293">
        <v>0.38553500000000002</v>
      </c>
      <c r="L58" s="293">
        <v>0.39021600000000001</v>
      </c>
      <c r="M58" s="293">
        <v>0.38447300000000001</v>
      </c>
      <c r="N58" s="293">
        <v>0.390044</v>
      </c>
      <c r="O58" s="293">
        <v>0.38984200000000002</v>
      </c>
      <c r="P58" s="293">
        <v>0.38874799999999998</v>
      </c>
      <c r="Q58" s="293">
        <v>0.38986300000000002</v>
      </c>
      <c r="R58" s="293">
        <v>0.38962000000000002</v>
      </c>
      <c r="S58" s="293">
        <v>0.390509</v>
      </c>
      <c r="T58" s="293">
        <v>0.392071</v>
      </c>
      <c r="U58" s="293">
        <v>0.392706</v>
      </c>
      <c r="V58" s="293">
        <v>0.39272899999999999</v>
      </c>
      <c r="W58" s="293">
        <v>0.39312000000000002</v>
      </c>
      <c r="X58" s="293">
        <v>0.39413599999999999</v>
      </c>
      <c r="Y58" s="293">
        <v>0.39485900000000002</v>
      </c>
      <c r="Z58" s="293">
        <v>0.396202</v>
      </c>
      <c r="AA58" s="293">
        <v>0.39659499999999998</v>
      </c>
      <c r="AB58" s="293">
        <v>0.39696300000000001</v>
      </c>
      <c r="AC58" s="293">
        <v>0.398011</v>
      </c>
      <c r="AD58" s="293">
        <v>0.39871400000000001</v>
      </c>
      <c r="AE58" s="293">
        <v>0.39992499999999997</v>
      </c>
      <c r="AF58" s="293">
        <v>0.40121899999999999</v>
      </c>
      <c r="AG58" s="293">
        <v>0.40172999999999998</v>
      </c>
      <c r="AH58" s="293">
        <v>0.402443</v>
      </c>
      <c r="AI58" s="293">
        <v>0.40342099999999997</v>
      </c>
      <c r="AJ58" s="293">
        <v>0.40445900000000001</v>
      </c>
      <c r="AK58" s="294">
        <v>6.0000000000000001E-3</v>
      </c>
    </row>
    <row r="59" spans="1:37">
      <c r="A59" s="6" t="s">
        <v>699</v>
      </c>
      <c r="B59" s="348">
        <v>2.8580451011657702</v>
      </c>
      <c r="C59" s="348">
        <v>2.73703241348267</v>
      </c>
      <c r="D59" s="348">
        <v>2.4269983768463099</v>
      </c>
      <c r="E59" s="348">
        <v>2.3350048065185498</v>
      </c>
      <c r="F59" s="349">
        <v>2.2457344532012899</v>
      </c>
      <c r="G59" s="293">
        <v>2.0800260000000002</v>
      </c>
      <c r="H59" s="293">
        <v>1.965076</v>
      </c>
      <c r="I59" s="293">
        <v>1.942002</v>
      </c>
      <c r="J59" s="293">
        <v>1.9470000000000001</v>
      </c>
      <c r="K59" s="293">
        <v>2.0148790000000001</v>
      </c>
      <c r="L59" s="293">
        <v>2.0685479999999998</v>
      </c>
      <c r="M59" s="293">
        <v>2.1349170000000002</v>
      </c>
      <c r="N59" s="293">
        <v>2.1911809999999998</v>
      </c>
      <c r="O59" s="293">
        <v>2.2368299999999999</v>
      </c>
      <c r="P59" s="293">
        <v>2.276913</v>
      </c>
      <c r="Q59" s="293">
        <v>2.3108819999999999</v>
      </c>
      <c r="R59" s="293">
        <v>2.3269329999999999</v>
      </c>
      <c r="S59" s="293">
        <v>2.343264</v>
      </c>
      <c r="T59" s="293">
        <v>2.3722750000000001</v>
      </c>
      <c r="U59" s="293">
        <v>2.404312</v>
      </c>
      <c r="V59" s="293">
        <v>2.4265159999999999</v>
      </c>
      <c r="W59" s="293">
        <v>2.458132</v>
      </c>
      <c r="X59" s="293">
        <v>2.474024</v>
      </c>
      <c r="Y59" s="293">
        <v>2.4762659999999999</v>
      </c>
      <c r="Z59" s="293">
        <v>2.4857459999999998</v>
      </c>
      <c r="AA59" s="293">
        <v>2.4935139999999998</v>
      </c>
      <c r="AB59" s="293">
        <v>2.4994040000000002</v>
      </c>
      <c r="AC59" s="293">
        <v>2.4986790000000001</v>
      </c>
      <c r="AD59" s="293">
        <v>2.5103719999999998</v>
      </c>
      <c r="AE59" s="293">
        <v>2.5131139999999998</v>
      </c>
      <c r="AF59" s="293">
        <v>2.519142</v>
      </c>
      <c r="AG59" s="293">
        <v>2.531539</v>
      </c>
      <c r="AH59" s="293">
        <v>2.5507759999999999</v>
      </c>
      <c r="AI59" s="293">
        <v>2.550128</v>
      </c>
      <c r="AJ59" s="293">
        <v>2.5471759999999999</v>
      </c>
      <c r="AK59" s="294">
        <v>8.9999999999999993E-3</v>
      </c>
    </row>
    <row r="60" spans="1:37">
      <c r="A60" s="6" t="s">
        <v>156</v>
      </c>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row>
    <row r="61" spans="1:37">
      <c r="A61" s="6" t="s">
        <v>155</v>
      </c>
      <c r="B61" s="348">
        <v>1.0618205070495601</v>
      </c>
      <c r="C61" s="348">
        <v>1.1093590259552</v>
      </c>
      <c r="D61" s="348">
        <v>1.0993635654449501</v>
      </c>
      <c r="E61" s="348">
        <v>1.10606873035431</v>
      </c>
      <c r="F61" s="349">
        <v>1.0538341999053999</v>
      </c>
      <c r="G61" s="293">
        <v>0.96948900000000005</v>
      </c>
      <c r="H61" s="293">
        <v>0.94076099999999996</v>
      </c>
      <c r="I61" s="293">
        <v>0.95062599999999997</v>
      </c>
      <c r="J61" s="293">
        <v>0.94062699999999999</v>
      </c>
      <c r="K61" s="293">
        <v>0.91689699999999996</v>
      </c>
      <c r="L61" s="293">
        <v>0.91578099999999996</v>
      </c>
      <c r="M61" s="293">
        <v>0.90966899999999995</v>
      </c>
      <c r="N61" s="293">
        <v>0.90114399999999995</v>
      </c>
      <c r="O61" s="293">
        <v>0.89199799999999996</v>
      </c>
      <c r="P61" s="293">
        <v>0.88283199999999995</v>
      </c>
      <c r="Q61" s="293">
        <v>0.87347300000000005</v>
      </c>
      <c r="R61" s="293">
        <v>0.86438899999999996</v>
      </c>
      <c r="S61" s="293">
        <v>0.85625499999999999</v>
      </c>
      <c r="T61" s="293">
        <v>0.84867599999999999</v>
      </c>
      <c r="U61" s="293">
        <v>0.84107299999999996</v>
      </c>
      <c r="V61" s="293">
        <v>0.83371399999999996</v>
      </c>
      <c r="W61" s="293">
        <v>0.82639200000000002</v>
      </c>
      <c r="X61" s="293">
        <v>0.81992799999999999</v>
      </c>
      <c r="Y61" s="293">
        <v>0.81319300000000005</v>
      </c>
      <c r="Z61" s="293">
        <v>0.80710899999999997</v>
      </c>
      <c r="AA61" s="293">
        <v>0.80122000000000004</v>
      </c>
      <c r="AB61" s="293">
        <v>0.795458</v>
      </c>
      <c r="AC61" s="293">
        <v>0.79006900000000002</v>
      </c>
      <c r="AD61" s="293">
        <v>0.78411900000000001</v>
      </c>
      <c r="AE61" s="293">
        <v>0.77970600000000001</v>
      </c>
      <c r="AF61" s="293">
        <v>0.77555200000000002</v>
      </c>
      <c r="AG61" s="293">
        <v>0.771922</v>
      </c>
      <c r="AH61" s="293">
        <v>0.76868800000000004</v>
      </c>
      <c r="AI61" s="293">
        <v>0.76499200000000001</v>
      </c>
      <c r="AJ61" s="293">
        <v>0.76103399999999999</v>
      </c>
      <c r="AK61" s="294">
        <v>-8.0000000000000002E-3</v>
      </c>
    </row>
    <row r="62" spans="1:37">
      <c r="A62" s="6" t="s">
        <v>700</v>
      </c>
      <c r="B62" s="348">
        <v>5.3221449851989702</v>
      </c>
      <c r="C62" s="348">
        <v>5.2595095634460396</v>
      </c>
      <c r="D62" s="348">
        <v>4.9765362739562997</v>
      </c>
      <c r="E62" s="348">
        <v>4.70910596847534</v>
      </c>
      <c r="F62" s="349">
        <v>4.5219602584838903</v>
      </c>
      <c r="G62" s="293">
        <v>4.4511919999999998</v>
      </c>
      <c r="H62" s="293">
        <v>4.421297</v>
      </c>
      <c r="I62" s="293">
        <v>4.5209929999999998</v>
      </c>
      <c r="J62" s="293">
        <v>4.6163509999999999</v>
      </c>
      <c r="K62" s="293">
        <v>4.7672689999999998</v>
      </c>
      <c r="L62" s="293">
        <v>4.940448</v>
      </c>
      <c r="M62" s="293">
        <v>5.0828059999999997</v>
      </c>
      <c r="N62" s="293">
        <v>5.1973799999999999</v>
      </c>
      <c r="O62" s="293">
        <v>5.2962569999999998</v>
      </c>
      <c r="P62" s="293">
        <v>5.3737599999999999</v>
      </c>
      <c r="Q62" s="293">
        <v>5.42516</v>
      </c>
      <c r="R62" s="293">
        <v>5.4817600000000004</v>
      </c>
      <c r="S62" s="293">
        <v>5.536664</v>
      </c>
      <c r="T62" s="293">
        <v>5.5895760000000001</v>
      </c>
      <c r="U62" s="293">
        <v>5.635637</v>
      </c>
      <c r="V62" s="293">
        <v>5.6575449999999998</v>
      </c>
      <c r="W62" s="293">
        <v>5.6945290000000002</v>
      </c>
      <c r="X62" s="293">
        <v>5.724005</v>
      </c>
      <c r="Y62" s="293">
        <v>5.7184200000000001</v>
      </c>
      <c r="Z62" s="293">
        <v>5.7229380000000001</v>
      </c>
      <c r="AA62" s="293">
        <v>5.7270849999999998</v>
      </c>
      <c r="AB62" s="293">
        <v>5.7279549999999997</v>
      </c>
      <c r="AC62" s="293">
        <v>5.7151949999999996</v>
      </c>
      <c r="AD62" s="293">
        <v>5.7039289999999996</v>
      </c>
      <c r="AE62" s="293">
        <v>5.6985010000000003</v>
      </c>
      <c r="AF62" s="293">
        <v>5.6904269999999997</v>
      </c>
      <c r="AG62" s="293">
        <v>5.7088890000000001</v>
      </c>
      <c r="AH62" s="293">
        <v>5.7191020000000004</v>
      </c>
      <c r="AI62" s="293">
        <v>5.7061400000000004</v>
      </c>
      <c r="AJ62" s="293">
        <v>5.6839209999999998</v>
      </c>
      <c r="AK62" s="294">
        <v>8.9999999999999993E-3</v>
      </c>
    </row>
    <row r="63" spans="1:37">
      <c r="A63" s="6" t="s">
        <v>154</v>
      </c>
      <c r="B63" s="348">
        <v>14.205528259277299</v>
      </c>
      <c r="C63" s="348">
        <v>14.253752708435099</v>
      </c>
      <c r="D63" s="348">
        <v>13.661909103393601</v>
      </c>
      <c r="E63" s="348">
        <v>13.477608680725099</v>
      </c>
      <c r="F63" s="349">
        <v>13.9932947158813</v>
      </c>
      <c r="G63" s="293">
        <v>13.653123000000001</v>
      </c>
      <c r="H63" s="293">
        <v>13.443807</v>
      </c>
      <c r="I63" s="293">
        <v>13.46326</v>
      </c>
      <c r="J63" s="293">
        <v>13.410075000000001</v>
      </c>
      <c r="K63" s="293">
        <v>13.391593</v>
      </c>
      <c r="L63" s="293">
        <v>13.423278</v>
      </c>
      <c r="M63" s="293">
        <v>13.416093</v>
      </c>
      <c r="N63" s="293">
        <v>13.359128999999999</v>
      </c>
      <c r="O63" s="293">
        <v>13.277658000000001</v>
      </c>
      <c r="P63" s="293">
        <v>13.193913999999999</v>
      </c>
      <c r="Q63" s="293">
        <v>13.108468</v>
      </c>
      <c r="R63" s="293">
        <v>13.021044</v>
      </c>
      <c r="S63" s="293">
        <v>12.924597</v>
      </c>
      <c r="T63" s="293">
        <v>12.819832</v>
      </c>
      <c r="U63" s="293">
        <v>12.713536</v>
      </c>
      <c r="V63" s="293">
        <v>12.616394</v>
      </c>
      <c r="W63" s="293">
        <v>12.527696000000001</v>
      </c>
      <c r="X63" s="293">
        <v>12.445028000000001</v>
      </c>
      <c r="Y63" s="293">
        <v>12.377145000000001</v>
      </c>
      <c r="Z63" s="293">
        <v>12.324268</v>
      </c>
      <c r="AA63" s="293">
        <v>12.281888</v>
      </c>
      <c r="AB63" s="293">
        <v>12.244210000000001</v>
      </c>
      <c r="AC63" s="293">
        <v>12.219082999999999</v>
      </c>
      <c r="AD63" s="293">
        <v>12.208591999999999</v>
      </c>
      <c r="AE63" s="293">
        <v>12.201549</v>
      </c>
      <c r="AF63" s="293">
        <v>12.192887000000001</v>
      </c>
      <c r="AG63" s="293">
        <v>12.189211999999999</v>
      </c>
      <c r="AH63" s="293">
        <v>12.193395000000001</v>
      </c>
      <c r="AI63" s="293">
        <v>12.201965</v>
      </c>
      <c r="AJ63" s="293">
        <v>12.203708000000001</v>
      </c>
      <c r="AK63" s="294">
        <v>-3.0000000000000001E-3</v>
      </c>
    </row>
    <row r="64" spans="1:37">
      <c r="A64" s="6" t="s">
        <v>701</v>
      </c>
      <c r="B64" s="348">
        <v>0.28576692938804599</v>
      </c>
      <c r="C64" s="348">
        <v>0.295045405626297</v>
      </c>
      <c r="D64" s="348">
        <v>0.215673848986626</v>
      </c>
      <c r="E64" s="348">
        <v>0.21838557720184301</v>
      </c>
      <c r="F64" s="349">
        <v>0.21773074567317999</v>
      </c>
      <c r="G64" s="293">
        <v>0.13995199999999999</v>
      </c>
      <c r="H64" s="293">
        <v>0.10258100000000001</v>
      </c>
      <c r="I64" s="293">
        <v>9.1968999999999995E-2</v>
      </c>
      <c r="J64" s="293">
        <v>9.2428999999999997E-2</v>
      </c>
      <c r="K64" s="293">
        <v>9.2261999999999997E-2</v>
      </c>
      <c r="L64" s="293">
        <v>8.9524000000000006E-2</v>
      </c>
      <c r="M64" s="293">
        <v>7.9076999999999995E-2</v>
      </c>
      <c r="N64" s="293">
        <v>8.0381999999999995E-2</v>
      </c>
      <c r="O64" s="293">
        <v>8.0076999999999995E-2</v>
      </c>
      <c r="P64" s="293">
        <v>8.0298999999999995E-2</v>
      </c>
      <c r="Q64" s="293">
        <v>8.0979999999999996E-2</v>
      </c>
      <c r="R64" s="293">
        <v>8.1548999999999996E-2</v>
      </c>
      <c r="S64" s="293">
        <v>8.2155000000000006E-2</v>
      </c>
      <c r="T64" s="293">
        <v>8.3019999999999997E-2</v>
      </c>
      <c r="U64" s="293">
        <v>8.3024000000000001E-2</v>
      </c>
      <c r="V64" s="293">
        <v>8.1849000000000005E-2</v>
      </c>
      <c r="W64" s="293">
        <v>8.1641000000000005E-2</v>
      </c>
      <c r="X64" s="293">
        <v>8.1735000000000002E-2</v>
      </c>
      <c r="Y64" s="293">
        <v>8.2040000000000002E-2</v>
      </c>
      <c r="Z64" s="293">
        <v>8.2365999999999995E-2</v>
      </c>
      <c r="AA64" s="293">
        <v>8.1250000000000003E-2</v>
      </c>
      <c r="AB64" s="293">
        <v>8.1303E-2</v>
      </c>
      <c r="AC64" s="293">
        <v>8.1448999999999994E-2</v>
      </c>
      <c r="AD64" s="293">
        <v>8.1864999999999993E-2</v>
      </c>
      <c r="AE64" s="293">
        <v>8.2123000000000002E-2</v>
      </c>
      <c r="AF64" s="293">
        <v>8.2472000000000004E-2</v>
      </c>
      <c r="AG64" s="293">
        <v>8.2769999999999996E-2</v>
      </c>
      <c r="AH64" s="293">
        <v>8.3155000000000007E-2</v>
      </c>
      <c r="AI64" s="293">
        <v>8.3571999999999994E-2</v>
      </c>
      <c r="AJ64" s="293">
        <v>8.3961999999999995E-2</v>
      </c>
      <c r="AK64" s="294">
        <v>-7.0000000000000001E-3</v>
      </c>
    </row>
    <row r="65" spans="1:37">
      <c r="A65" s="6" t="s">
        <v>153</v>
      </c>
      <c r="B65" s="348">
        <v>20.654685974121101</v>
      </c>
      <c r="C65" s="348">
        <v>20.6498107910156</v>
      </c>
      <c r="D65" s="348">
        <v>19.5445957183838</v>
      </c>
      <c r="E65" s="348">
        <v>19.245325088501001</v>
      </c>
      <c r="F65" s="349">
        <v>19.787778854370099</v>
      </c>
      <c r="G65" s="248">
        <v>18.92342</v>
      </c>
      <c r="H65" s="248">
        <v>18.486381999999999</v>
      </c>
      <c r="I65" s="248">
        <v>18.638722999999999</v>
      </c>
      <c r="J65" s="248">
        <v>18.700082999999999</v>
      </c>
      <c r="K65" s="248">
        <v>19.167159999999999</v>
      </c>
      <c r="L65" s="248">
        <v>19.368099000000001</v>
      </c>
      <c r="M65" s="248">
        <v>19.486657999999998</v>
      </c>
      <c r="N65" s="248">
        <v>19.537004</v>
      </c>
      <c r="O65" s="248">
        <v>19.544903000000001</v>
      </c>
      <c r="P65" s="248">
        <v>19.529665000000001</v>
      </c>
      <c r="Q65" s="248">
        <v>19.486916000000001</v>
      </c>
      <c r="R65" s="248">
        <v>19.44755</v>
      </c>
      <c r="S65" s="248">
        <v>19.398457000000001</v>
      </c>
      <c r="T65" s="248">
        <v>19.339873999999998</v>
      </c>
      <c r="U65" s="248">
        <v>19.272027999999999</v>
      </c>
      <c r="V65" s="248">
        <v>19.188255000000002</v>
      </c>
      <c r="W65" s="248">
        <v>19.129000000000001</v>
      </c>
      <c r="X65" s="248">
        <v>19.069431000000002</v>
      </c>
      <c r="Y65" s="248">
        <v>18.989547999999999</v>
      </c>
      <c r="Z65" s="248">
        <v>18.935445999999999</v>
      </c>
      <c r="AA65" s="248">
        <v>18.890217</v>
      </c>
      <c r="AB65" s="248">
        <v>18.847709999999999</v>
      </c>
      <c r="AC65" s="248">
        <v>18.804594000000002</v>
      </c>
      <c r="AD65" s="248">
        <v>18.777315000000002</v>
      </c>
      <c r="AE65" s="248">
        <v>18.760704</v>
      </c>
      <c r="AF65" s="248">
        <v>18.740176999999999</v>
      </c>
      <c r="AG65" s="248">
        <v>18.751633000000002</v>
      </c>
      <c r="AH65" s="248">
        <v>18.763190999999999</v>
      </c>
      <c r="AI65" s="248">
        <v>18.755531000000001</v>
      </c>
      <c r="AJ65" s="248">
        <v>18.731504000000001</v>
      </c>
      <c r="AK65" s="249">
        <v>0</v>
      </c>
    </row>
    <row r="66" spans="1:3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row>
    <row r="67" spans="1:37">
      <c r="A67" s="6" t="s">
        <v>702</v>
      </c>
      <c r="B67" s="348">
        <v>4.2667388916015597E-2</v>
      </c>
      <c r="C67" s="348">
        <v>0.11821937561035201</v>
      </c>
      <c r="D67" s="348">
        <v>0.102603912353516</v>
      </c>
      <c r="E67" s="348">
        <v>0.17598533630371099</v>
      </c>
      <c r="F67" s="349">
        <v>-0.19984626770019501</v>
      </c>
      <c r="G67" s="293">
        <v>1.5162999999999999E-2</v>
      </c>
      <c r="H67" s="293">
        <v>0.105907</v>
      </c>
      <c r="I67" s="293">
        <v>0.34659600000000002</v>
      </c>
      <c r="J67" s="293">
        <v>0.115158</v>
      </c>
      <c r="K67" s="293">
        <v>-9.7140000000000004E-3</v>
      </c>
      <c r="L67" s="293">
        <v>-9.1500000000000001E-3</v>
      </c>
      <c r="M67" s="293">
        <v>-9.129E-3</v>
      </c>
      <c r="N67" s="293">
        <v>-9.3959999999999998E-3</v>
      </c>
      <c r="O67" s="293">
        <v>-9.4409999999999997E-3</v>
      </c>
      <c r="P67" s="293">
        <v>-9.2980000000000007E-3</v>
      </c>
      <c r="Q67" s="293">
        <v>-9.8270000000000007E-3</v>
      </c>
      <c r="R67" s="293">
        <v>-9.7409999999999997E-3</v>
      </c>
      <c r="S67" s="293">
        <v>-9.6889999999999997E-3</v>
      </c>
      <c r="T67" s="293">
        <v>-9.8569999999999994E-3</v>
      </c>
      <c r="U67" s="293">
        <v>-9.7099999999999999E-3</v>
      </c>
      <c r="V67" s="293">
        <v>-9.4129999999999995E-3</v>
      </c>
      <c r="W67" s="293">
        <v>-9.7260000000000003E-3</v>
      </c>
      <c r="X67" s="293">
        <v>-9.5440000000000004E-3</v>
      </c>
      <c r="Y67" s="293">
        <v>-8.9110000000000005E-3</v>
      </c>
      <c r="Z67" s="293">
        <v>-9.2739999999999993E-3</v>
      </c>
      <c r="AA67" s="293">
        <v>-9.4389999999999995E-3</v>
      </c>
      <c r="AB67" s="293">
        <v>-9.6170000000000005E-3</v>
      </c>
      <c r="AC67" s="293">
        <v>-9.1479999999999999E-3</v>
      </c>
      <c r="AD67" s="293">
        <v>-8.9969999999999998E-3</v>
      </c>
      <c r="AE67" s="293">
        <v>-8.8159999999999992E-3</v>
      </c>
      <c r="AF67" s="293">
        <v>-8.2660000000000008E-3</v>
      </c>
      <c r="AG67" s="293">
        <v>-8.2740000000000001E-3</v>
      </c>
      <c r="AH67" s="293">
        <v>-7.711E-3</v>
      </c>
      <c r="AI67" s="293">
        <v>-7.0080000000000003E-3</v>
      </c>
      <c r="AJ67" s="293">
        <v>-6.5420000000000001E-3</v>
      </c>
      <c r="AK67" s="293" t="s">
        <v>41</v>
      </c>
    </row>
    <row r="68" spans="1:3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row>
    <row r="69" spans="1:37">
      <c r="A69" s="6" t="s">
        <v>703</v>
      </c>
      <c r="B69" s="362">
        <v>17.3390007019043</v>
      </c>
      <c r="C69" s="362">
        <v>17.4409999847412</v>
      </c>
      <c r="D69" s="362">
        <v>17.5890007019043</v>
      </c>
      <c r="E69" s="362">
        <v>17.5890007019043</v>
      </c>
      <c r="F69" s="363">
        <v>17.994850158691399</v>
      </c>
      <c r="G69" s="293">
        <v>17.704999999999998</v>
      </c>
      <c r="H69" s="293">
        <v>17.315000999999999</v>
      </c>
      <c r="I69" s="293">
        <v>17.818999999999999</v>
      </c>
      <c r="J69" s="293">
        <v>17.818999999999999</v>
      </c>
      <c r="K69" s="293">
        <v>18.114657999999999</v>
      </c>
      <c r="L69" s="293">
        <v>18.129657999999999</v>
      </c>
      <c r="M69" s="293">
        <v>18.129657999999999</v>
      </c>
      <c r="N69" s="293">
        <v>18.129657999999999</v>
      </c>
      <c r="O69" s="293">
        <v>18.129657999999999</v>
      </c>
      <c r="P69" s="293">
        <v>18.129657999999999</v>
      </c>
      <c r="Q69" s="293">
        <v>18.129657999999999</v>
      </c>
      <c r="R69" s="293">
        <v>18.129657999999999</v>
      </c>
      <c r="S69" s="293">
        <v>18.129657999999999</v>
      </c>
      <c r="T69" s="293">
        <v>18.129657999999999</v>
      </c>
      <c r="U69" s="293">
        <v>18.129657999999999</v>
      </c>
      <c r="V69" s="293">
        <v>18.129657999999999</v>
      </c>
      <c r="W69" s="293">
        <v>18.129657999999999</v>
      </c>
      <c r="X69" s="293">
        <v>18.129657999999999</v>
      </c>
      <c r="Y69" s="293">
        <v>18.129657999999999</v>
      </c>
      <c r="Z69" s="293">
        <v>18.129657999999999</v>
      </c>
      <c r="AA69" s="293">
        <v>18.129657999999999</v>
      </c>
      <c r="AB69" s="293">
        <v>18.129657999999999</v>
      </c>
      <c r="AC69" s="293">
        <v>18.129657999999999</v>
      </c>
      <c r="AD69" s="293">
        <v>18.129657999999999</v>
      </c>
      <c r="AE69" s="293">
        <v>18.129657999999999</v>
      </c>
      <c r="AF69" s="293">
        <v>18.129657999999999</v>
      </c>
      <c r="AG69" s="293">
        <v>18.129657999999999</v>
      </c>
      <c r="AH69" s="293">
        <v>18.129657999999999</v>
      </c>
      <c r="AI69" s="293">
        <v>18.129657999999999</v>
      </c>
      <c r="AJ69" s="293">
        <v>18.129657999999999</v>
      </c>
      <c r="AK69" s="294">
        <v>2E-3</v>
      </c>
    </row>
    <row r="70" spans="1:37">
      <c r="A70" s="6" t="s">
        <v>704</v>
      </c>
      <c r="B70" s="362">
        <v>90</v>
      </c>
      <c r="C70" s="362">
        <v>89</v>
      </c>
      <c r="D70" s="362">
        <v>85</v>
      </c>
      <c r="E70" s="362">
        <v>84</v>
      </c>
      <c r="F70" s="363">
        <v>78.951698303222699</v>
      </c>
      <c r="G70" s="293">
        <v>86</v>
      </c>
      <c r="H70" s="293">
        <v>89</v>
      </c>
      <c r="I70" s="293">
        <v>87</v>
      </c>
      <c r="J70" s="293">
        <v>87</v>
      </c>
      <c r="K70" s="293">
        <v>83.929221999999996</v>
      </c>
      <c r="L70" s="293">
        <v>84.444526999999994</v>
      </c>
      <c r="M70" s="293">
        <v>84.784676000000005</v>
      </c>
      <c r="N70" s="293">
        <v>84.856537000000003</v>
      </c>
      <c r="O70" s="293">
        <v>84.762580999999997</v>
      </c>
      <c r="P70" s="293">
        <v>84.610602999999998</v>
      </c>
      <c r="Q70" s="293">
        <v>84.422150000000002</v>
      </c>
      <c r="R70" s="293">
        <v>84.011527999999998</v>
      </c>
      <c r="S70" s="293">
        <v>83.650841</v>
      </c>
      <c r="T70" s="293">
        <v>83.337349000000003</v>
      </c>
      <c r="U70" s="293">
        <v>83.051040999999998</v>
      </c>
      <c r="V70" s="293">
        <v>82.852858999999995</v>
      </c>
      <c r="W70" s="293">
        <v>82.751807999999997</v>
      </c>
      <c r="X70" s="293">
        <v>82.579086000000004</v>
      </c>
      <c r="Y70" s="293">
        <v>82.446686</v>
      </c>
      <c r="Z70" s="293">
        <v>82.407532000000003</v>
      </c>
      <c r="AA70" s="293">
        <v>82.401390000000006</v>
      </c>
      <c r="AB70" s="293">
        <v>82.379172999999994</v>
      </c>
      <c r="AC70" s="293">
        <v>82.419548000000006</v>
      </c>
      <c r="AD70" s="293">
        <v>82.643226999999996</v>
      </c>
      <c r="AE70" s="293">
        <v>82.856575000000007</v>
      </c>
      <c r="AF70" s="293">
        <v>83.059607999999997</v>
      </c>
      <c r="AG70" s="293">
        <v>83.321395999999993</v>
      </c>
      <c r="AH70" s="293">
        <v>83.713463000000004</v>
      </c>
      <c r="AI70" s="293">
        <v>83.800713000000002</v>
      </c>
      <c r="AJ70" s="293">
        <v>83.967208999999997</v>
      </c>
      <c r="AK70" s="294">
        <v>-2E-3</v>
      </c>
    </row>
    <row r="71" spans="1:37">
      <c r="A71" s="6" t="s">
        <v>152</v>
      </c>
      <c r="B71" s="362">
        <v>60.165718078613303</v>
      </c>
      <c r="C71" s="362">
        <v>58.3234672546387</v>
      </c>
      <c r="D71" s="362">
        <v>56.096931457519503</v>
      </c>
      <c r="E71" s="362">
        <v>53.113201141357401</v>
      </c>
      <c r="F71" s="363">
        <v>50.657768249511697</v>
      </c>
      <c r="G71" s="293">
        <v>45.229275000000001</v>
      </c>
      <c r="H71" s="293">
        <v>40.315280999999999</v>
      </c>
      <c r="I71" s="293">
        <v>33.537674000000003</v>
      </c>
      <c r="J71" s="293">
        <v>28.732861</v>
      </c>
      <c r="K71" s="293">
        <v>27.439371000000001</v>
      </c>
      <c r="L71" s="293">
        <v>25.212821999999999</v>
      </c>
      <c r="M71" s="293">
        <v>25.371447</v>
      </c>
      <c r="N71" s="293">
        <v>25.397780999999998</v>
      </c>
      <c r="O71" s="293">
        <v>25.272306</v>
      </c>
      <c r="P71" s="293">
        <v>25.605276</v>
      </c>
      <c r="Q71" s="293">
        <v>26.339932999999998</v>
      </c>
      <c r="R71" s="293">
        <v>26.391024000000002</v>
      </c>
      <c r="S71" s="293">
        <v>26.330031999999999</v>
      </c>
      <c r="T71" s="293">
        <v>26.557704999999999</v>
      </c>
      <c r="U71" s="293">
        <v>26.574638</v>
      </c>
      <c r="V71" s="293">
        <v>27.074511000000001</v>
      </c>
      <c r="W71" s="293">
        <v>27.628391000000001</v>
      </c>
      <c r="X71" s="293">
        <v>28.164417</v>
      </c>
      <c r="Y71" s="293">
        <v>28.574669</v>
      </c>
      <c r="Z71" s="293">
        <v>28.600802999999999</v>
      </c>
      <c r="AA71" s="293">
        <v>29.035553</v>
      </c>
      <c r="AB71" s="293">
        <v>29.225125999999999</v>
      </c>
      <c r="AC71" s="293">
        <v>29.185209</v>
      </c>
      <c r="AD71" s="293">
        <v>29.338975999999999</v>
      </c>
      <c r="AE71" s="293">
        <v>29.911650000000002</v>
      </c>
      <c r="AF71" s="293">
        <v>30.578768</v>
      </c>
      <c r="AG71" s="293">
        <v>30.764973000000001</v>
      </c>
      <c r="AH71" s="293">
        <v>31.641760000000001</v>
      </c>
      <c r="AI71" s="293">
        <v>31.827915000000001</v>
      </c>
      <c r="AJ71" s="293">
        <v>32.156517000000001</v>
      </c>
      <c r="AK71" s="294">
        <v>-8.0000000000000002E-3</v>
      </c>
    </row>
    <row r="72" spans="1:37" s="268" customFormat="1">
      <c r="A72" s="267" t="s">
        <v>151</v>
      </c>
      <c r="B72" s="348">
        <v>15.605100631713899</v>
      </c>
      <c r="C72" s="348">
        <v>15.522489547729499</v>
      </c>
      <c r="D72" s="348">
        <v>14.950650215148899</v>
      </c>
      <c r="E72" s="348">
        <v>14.7747602462769</v>
      </c>
      <c r="F72" s="349">
        <v>14.2072401046753</v>
      </c>
      <c r="G72" s="314">
        <v>14.3342885971069</v>
      </c>
      <c r="H72" s="314">
        <v>14.411810874939</v>
      </c>
      <c r="I72" s="314">
        <v>14.427806854248001</v>
      </c>
      <c r="J72" s="314">
        <v>14.247616767883301</v>
      </c>
      <c r="K72" s="314">
        <v>14.1760416030884</v>
      </c>
      <c r="L72" s="314">
        <v>14.1692085266113</v>
      </c>
      <c r="M72" s="314">
        <v>14.217811584472701</v>
      </c>
      <c r="N72" s="314">
        <v>14.219580650329601</v>
      </c>
      <c r="O72" s="314">
        <v>14.2103576660156</v>
      </c>
      <c r="P72" s="314">
        <v>14.200039863586399</v>
      </c>
      <c r="Q72" s="314">
        <v>14.1303453445435</v>
      </c>
      <c r="R72" s="314">
        <v>14.095740318298301</v>
      </c>
      <c r="S72" s="314">
        <v>14.0861167907715</v>
      </c>
      <c r="T72" s="314">
        <v>14.1125946044922</v>
      </c>
      <c r="U72" s="314">
        <v>14.163477897644</v>
      </c>
      <c r="V72" s="314">
        <v>14.242433547973601</v>
      </c>
      <c r="W72" s="314">
        <v>14.2973442077637</v>
      </c>
      <c r="X72" s="314">
        <v>14.4011936187744</v>
      </c>
      <c r="Y72" s="314">
        <v>14.4425506591797</v>
      </c>
      <c r="Z72" s="314">
        <v>14.573932647705099</v>
      </c>
      <c r="AA72" s="314"/>
      <c r="AB72" s="314"/>
      <c r="AC72" s="314"/>
      <c r="AD72" s="314"/>
      <c r="AE72" s="314"/>
      <c r="AF72" s="314"/>
      <c r="AG72" s="314"/>
      <c r="AH72" s="314"/>
      <c r="AI72" s="314"/>
      <c r="AJ72" s="314"/>
      <c r="AK72" s="315">
        <v>-2.73776054382324E-3</v>
      </c>
    </row>
    <row r="73" spans="1:37">
      <c r="A73" s="6" t="s">
        <v>150</v>
      </c>
    </row>
    <row r="74" spans="1:37">
      <c r="A74" s="6" t="s">
        <v>595</v>
      </c>
      <c r="B74" s="348">
        <v>272.80218505859398</v>
      </c>
      <c r="C74" s="348">
        <v>280.12564086914102</v>
      </c>
      <c r="D74" s="348">
        <v>321.28717041015602</v>
      </c>
      <c r="E74" s="348">
        <v>195.51596069335901</v>
      </c>
      <c r="F74" s="349">
        <v>246.62348937988301</v>
      </c>
      <c r="G74" s="293">
        <v>494.73007200000001</v>
      </c>
      <c r="H74" s="293">
        <v>313.70205700000002</v>
      </c>
      <c r="I74" s="293">
        <v>257.058716</v>
      </c>
      <c r="J74" s="293">
        <v>219.518845</v>
      </c>
      <c r="K74" s="293">
        <v>213.13346899999999</v>
      </c>
      <c r="L74" s="293">
        <v>192.04028299999999</v>
      </c>
      <c r="M74" s="293">
        <v>190.19305399999999</v>
      </c>
      <c r="N74" s="293">
        <v>190.97583</v>
      </c>
      <c r="O74" s="293">
        <v>193.05748</v>
      </c>
      <c r="P74" s="293">
        <v>198.85289</v>
      </c>
      <c r="Q74" s="293">
        <v>207.326324</v>
      </c>
      <c r="R74" s="293">
        <v>214.50224299999999</v>
      </c>
      <c r="S74" s="293">
        <v>220.992096</v>
      </c>
      <c r="T74" s="293">
        <v>228.38960299999999</v>
      </c>
      <c r="U74" s="293">
        <v>234.269226</v>
      </c>
      <c r="V74" s="293">
        <v>243.98199500000001</v>
      </c>
      <c r="W74" s="293">
        <v>254.790054</v>
      </c>
      <c r="X74" s="293">
        <v>263.61831699999999</v>
      </c>
      <c r="Y74" s="293">
        <v>272.543701</v>
      </c>
      <c r="Z74" s="293">
        <v>278.59802200000001</v>
      </c>
      <c r="AA74" s="293">
        <v>289.04888899999997</v>
      </c>
      <c r="AB74" s="293">
        <v>297.603973</v>
      </c>
      <c r="AC74" s="293">
        <v>305.14331099999998</v>
      </c>
      <c r="AD74" s="293">
        <v>315.75491299999999</v>
      </c>
      <c r="AE74" s="293">
        <v>327.328461</v>
      </c>
      <c r="AF74" s="293">
        <v>338.67947400000003</v>
      </c>
      <c r="AG74" s="293">
        <v>347.810272</v>
      </c>
      <c r="AH74" s="293">
        <v>363.35360700000001</v>
      </c>
      <c r="AI74" s="293">
        <v>372.92919899999998</v>
      </c>
      <c r="AJ74" s="293">
        <v>385.39370700000001</v>
      </c>
      <c r="AK74" s="294">
        <v>7.0000000000000001E-3</v>
      </c>
    </row>
    <row r="78" spans="1:37" s="266" customFormat="1" ht="15" customHeight="1">
      <c r="A78" s="564" t="s">
        <v>596</v>
      </c>
      <c r="B78" s="564"/>
      <c r="C78" s="564"/>
      <c r="D78" s="564"/>
      <c r="E78" s="564"/>
      <c r="F78" s="564"/>
      <c r="G78" s="564"/>
      <c r="H78" s="564"/>
      <c r="I78" s="564"/>
      <c r="J78" s="564"/>
      <c r="K78" s="564"/>
      <c r="L78" s="564"/>
      <c r="M78" s="564"/>
      <c r="N78" s="564"/>
      <c r="O78" s="564"/>
      <c r="P78" s="564"/>
      <c r="Q78" s="564"/>
      <c r="R78" s="564"/>
      <c r="S78" s="564"/>
      <c r="T78" s="564"/>
      <c r="U78" s="564"/>
      <c r="V78" s="564"/>
      <c r="W78" s="564"/>
      <c r="X78" s="564"/>
      <c r="Y78" s="564"/>
      <c r="Z78" s="564"/>
      <c r="AA78" s="564"/>
      <c r="AB78" s="564"/>
      <c r="AC78" s="564"/>
      <c r="AD78" s="564"/>
      <c r="AE78" s="564"/>
      <c r="AF78" s="564"/>
      <c r="AG78" s="298"/>
      <c r="AH78" s="298"/>
      <c r="AI78" s="298"/>
      <c r="AJ78" s="298"/>
      <c r="AK78" s="298"/>
    </row>
    <row r="79" spans="1:37" customFormat="1" ht="15" customHeight="1">
      <c r="A79" s="565" t="s">
        <v>597</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297"/>
      <c r="AH79" s="297"/>
      <c r="AI79" s="297"/>
      <c r="AJ79" s="297"/>
      <c r="AK79" s="297"/>
    </row>
    <row r="80" spans="1:37" customFormat="1" ht="15" customHeight="1">
      <c r="A80" s="565" t="s">
        <v>598</v>
      </c>
      <c r="B80" s="565"/>
      <c r="C80" s="565"/>
      <c r="D80" s="565"/>
      <c r="E80" s="565"/>
      <c r="F80" s="565"/>
      <c r="G80" s="565"/>
      <c r="H80" s="565"/>
      <c r="I80" s="565"/>
      <c r="J80" s="565"/>
      <c r="K80" s="565"/>
      <c r="L80" s="565"/>
      <c r="M80" s="565"/>
      <c r="N80" s="565"/>
      <c r="O80" s="565"/>
      <c r="P80" s="565"/>
      <c r="Q80" s="565"/>
      <c r="R80" s="565"/>
      <c r="S80" s="565"/>
      <c r="T80" s="565"/>
      <c r="U80" s="565"/>
      <c r="V80" s="565"/>
      <c r="W80" s="565"/>
      <c r="X80" s="565"/>
      <c r="Y80" s="565"/>
      <c r="Z80" s="565"/>
      <c r="AA80" s="565"/>
      <c r="AB80" s="565"/>
      <c r="AC80" s="565"/>
      <c r="AD80" s="565"/>
      <c r="AE80" s="565"/>
      <c r="AF80" s="565"/>
      <c r="AG80" s="297"/>
      <c r="AH80" s="297"/>
      <c r="AI80" s="297"/>
      <c r="AJ80" s="297"/>
      <c r="AK80" s="297"/>
    </row>
    <row r="81" spans="1:37" customFormat="1" ht="15" customHeight="1">
      <c r="A81" s="565" t="s">
        <v>599</v>
      </c>
      <c r="B81" s="565"/>
      <c r="C81" s="565"/>
      <c r="D81" s="565"/>
      <c r="E81" s="565"/>
      <c r="F81" s="565"/>
      <c r="G81" s="565"/>
      <c r="H81" s="565"/>
      <c r="I81" s="565"/>
      <c r="J81" s="565"/>
      <c r="K81" s="565"/>
      <c r="L81" s="565"/>
      <c r="M81" s="565"/>
      <c r="N81" s="565"/>
      <c r="O81" s="565"/>
      <c r="P81" s="565"/>
      <c r="Q81" s="565"/>
      <c r="R81" s="565"/>
      <c r="S81" s="565"/>
      <c r="T81" s="565"/>
      <c r="U81" s="565"/>
      <c r="V81" s="565"/>
      <c r="W81" s="565"/>
      <c r="X81" s="565"/>
      <c r="Y81" s="565"/>
      <c r="Z81" s="565"/>
      <c r="AA81" s="565"/>
      <c r="AB81" s="565"/>
      <c r="AC81" s="565"/>
      <c r="AD81" s="565"/>
      <c r="AE81" s="565"/>
      <c r="AF81" s="565"/>
      <c r="AG81" s="297"/>
      <c r="AH81" s="297"/>
      <c r="AI81" s="297"/>
      <c r="AJ81" s="297"/>
      <c r="AK81" s="297"/>
    </row>
    <row r="82" spans="1:37" customFormat="1" ht="15" customHeight="1">
      <c r="A82" s="565" t="s">
        <v>600</v>
      </c>
      <c r="B82" s="565"/>
      <c r="C82" s="565"/>
      <c r="D82" s="565"/>
      <c r="E82" s="565"/>
      <c r="F82" s="565"/>
      <c r="G82" s="565"/>
      <c r="H82" s="565"/>
      <c r="I82" s="565"/>
      <c r="J82" s="565"/>
      <c r="K82" s="565"/>
      <c r="L82" s="565"/>
      <c r="M82" s="565"/>
      <c r="N82" s="565"/>
      <c r="O82" s="565"/>
      <c r="P82" s="565"/>
      <c r="Q82" s="565"/>
      <c r="R82" s="565"/>
      <c r="S82" s="565"/>
      <c r="T82" s="565"/>
      <c r="U82" s="565"/>
      <c r="V82" s="565"/>
      <c r="W82" s="565"/>
      <c r="X82" s="565"/>
      <c r="Y82" s="565"/>
      <c r="Z82" s="565"/>
      <c r="AA82" s="565"/>
      <c r="AB82" s="565"/>
      <c r="AC82" s="565"/>
      <c r="AD82" s="565"/>
      <c r="AE82" s="565"/>
      <c r="AF82" s="565"/>
      <c r="AG82" s="297"/>
      <c r="AH82" s="297"/>
      <c r="AI82" s="297"/>
      <c r="AJ82" s="297"/>
      <c r="AK82" s="297"/>
    </row>
    <row r="83" spans="1:37" customFormat="1" ht="15" customHeight="1">
      <c r="A83" s="565" t="s">
        <v>601</v>
      </c>
      <c r="B83" s="565"/>
      <c r="C83" s="565"/>
      <c r="D83" s="565"/>
      <c r="E83" s="565"/>
      <c r="F83" s="565"/>
      <c r="G83" s="565"/>
      <c r="H83" s="565"/>
      <c r="I83" s="565"/>
      <c r="J83" s="565"/>
      <c r="K83" s="565"/>
      <c r="L83" s="565"/>
      <c r="M83" s="565"/>
      <c r="N83" s="565"/>
      <c r="O83" s="565"/>
      <c r="P83" s="565"/>
      <c r="Q83" s="565"/>
      <c r="R83" s="565"/>
      <c r="S83" s="565"/>
      <c r="T83" s="565"/>
      <c r="U83" s="565"/>
      <c r="V83" s="565"/>
      <c r="W83" s="565"/>
      <c r="X83" s="565"/>
      <c r="Y83" s="565"/>
      <c r="Z83" s="565"/>
      <c r="AA83" s="565"/>
      <c r="AB83" s="565"/>
      <c r="AC83" s="565"/>
      <c r="AD83" s="565"/>
      <c r="AE83" s="565"/>
      <c r="AF83" s="565"/>
      <c r="AG83" s="297"/>
      <c r="AH83" s="297"/>
      <c r="AI83" s="297"/>
      <c r="AJ83" s="297"/>
      <c r="AK83" s="297"/>
    </row>
    <row r="84" spans="1:37" customFormat="1" ht="15" customHeight="1">
      <c r="A84" s="565" t="s">
        <v>602</v>
      </c>
      <c r="B84" s="565"/>
      <c r="C84" s="565"/>
      <c r="D84" s="565"/>
      <c r="E84" s="565"/>
      <c r="F84" s="565"/>
      <c r="G84" s="565"/>
      <c r="H84" s="565"/>
      <c r="I84" s="565"/>
      <c r="J84" s="565"/>
      <c r="K84" s="565"/>
      <c r="L84" s="565"/>
      <c r="M84" s="565"/>
      <c r="N84" s="565"/>
      <c r="O84" s="565"/>
      <c r="P84" s="565"/>
      <c r="Q84" s="565"/>
      <c r="R84" s="565"/>
      <c r="S84" s="565"/>
      <c r="T84" s="565"/>
      <c r="U84" s="565"/>
      <c r="V84" s="565"/>
      <c r="W84" s="565"/>
      <c r="X84" s="565"/>
      <c r="Y84" s="565"/>
      <c r="Z84" s="565"/>
      <c r="AA84" s="565"/>
      <c r="AB84" s="565"/>
      <c r="AC84" s="565"/>
      <c r="AD84" s="565"/>
      <c r="AE84" s="565"/>
      <c r="AF84" s="565"/>
      <c r="AG84" s="297"/>
      <c r="AH84" s="297"/>
      <c r="AI84" s="297"/>
      <c r="AJ84" s="297"/>
      <c r="AK84" s="297"/>
    </row>
    <row r="85" spans="1:37" customFormat="1" ht="15" customHeight="1">
      <c r="A85" s="565" t="s">
        <v>603</v>
      </c>
      <c r="B85" s="565"/>
      <c r="C85" s="565"/>
      <c r="D85" s="565"/>
      <c r="E85" s="565"/>
      <c r="F85" s="565"/>
      <c r="G85" s="565"/>
      <c r="H85" s="565"/>
      <c r="I85" s="565"/>
      <c r="J85" s="565"/>
      <c r="K85" s="565"/>
      <c r="L85" s="565"/>
      <c r="M85" s="565"/>
      <c r="N85" s="565"/>
      <c r="O85" s="565"/>
      <c r="P85" s="565"/>
      <c r="Q85" s="565"/>
      <c r="R85" s="565"/>
      <c r="S85" s="565"/>
      <c r="T85" s="565"/>
      <c r="U85" s="565"/>
      <c r="V85" s="565"/>
      <c r="W85" s="565"/>
      <c r="X85" s="565"/>
      <c r="Y85" s="565"/>
      <c r="Z85" s="565"/>
      <c r="AA85" s="565"/>
      <c r="AB85" s="565"/>
      <c r="AC85" s="565"/>
      <c r="AD85" s="565"/>
      <c r="AE85" s="565"/>
      <c r="AF85" s="565"/>
      <c r="AG85" s="297"/>
      <c r="AH85" s="297"/>
      <c r="AI85" s="297"/>
      <c r="AJ85" s="297"/>
      <c r="AK85" s="297"/>
    </row>
    <row r="86" spans="1:37" customFormat="1" ht="15" customHeight="1">
      <c r="A86" s="565" t="s">
        <v>604</v>
      </c>
      <c r="B86" s="565"/>
      <c r="C86" s="565"/>
      <c r="D86" s="565"/>
      <c r="E86" s="565"/>
      <c r="F86" s="565"/>
      <c r="G86" s="565"/>
      <c r="H86" s="565"/>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297"/>
      <c r="AH86" s="297"/>
      <c r="AI86" s="297"/>
      <c r="AJ86" s="297"/>
      <c r="AK86" s="297"/>
    </row>
    <row r="87" spans="1:37" customFormat="1" ht="15" customHeight="1">
      <c r="A87" s="565" t="s">
        <v>605</v>
      </c>
      <c r="B87" s="565"/>
      <c r="C87" s="565"/>
      <c r="D87" s="565"/>
      <c r="E87" s="565"/>
      <c r="F87" s="565"/>
      <c r="G87" s="565"/>
      <c r="H87" s="565"/>
      <c r="I87" s="565"/>
      <c r="J87" s="565"/>
      <c r="K87" s="565"/>
      <c r="L87" s="565"/>
      <c r="M87" s="565"/>
      <c r="N87" s="565"/>
      <c r="O87" s="565"/>
      <c r="P87" s="565"/>
      <c r="Q87" s="565"/>
      <c r="R87" s="565"/>
      <c r="S87" s="565"/>
      <c r="T87" s="565"/>
      <c r="U87" s="565"/>
      <c r="V87" s="565"/>
      <c r="W87" s="565"/>
      <c r="X87" s="565"/>
      <c r="Y87" s="565"/>
      <c r="Z87" s="565"/>
      <c r="AA87" s="565"/>
      <c r="AB87" s="565"/>
      <c r="AC87" s="565"/>
      <c r="AD87" s="565"/>
      <c r="AE87" s="565"/>
      <c r="AF87" s="565"/>
      <c r="AG87" s="297"/>
      <c r="AH87" s="297"/>
      <c r="AI87" s="297"/>
      <c r="AJ87" s="297"/>
      <c r="AK87" s="297"/>
    </row>
    <row r="88" spans="1:37" customFormat="1" ht="15" customHeight="1">
      <c r="A88" s="565" t="s">
        <v>606</v>
      </c>
      <c r="B88" s="565"/>
      <c r="C88" s="565"/>
      <c r="D88" s="565"/>
      <c r="E88" s="565"/>
      <c r="F88" s="565"/>
      <c r="G88" s="565"/>
      <c r="H88" s="565"/>
      <c r="I88" s="565"/>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c r="AG88" s="297"/>
      <c r="AH88" s="297"/>
      <c r="AI88" s="297"/>
      <c r="AJ88" s="297"/>
      <c r="AK88" s="297"/>
    </row>
    <row r="89" spans="1:37" customFormat="1" ht="15" customHeight="1">
      <c r="A89" s="565" t="s">
        <v>607</v>
      </c>
      <c r="B89" s="565"/>
      <c r="C89" s="565"/>
      <c r="D89" s="565"/>
      <c r="E89" s="565"/>
      <c r="F89" s="565"/>
      <c r="G89" s="565"/>
      <c r="H89" s="565"/>
      <c r="I89" s="565"/>
      <c r="J89" s="565"/>
      <c r="K89" s="565"/>
      <c r="L89" s="565"/>
      <c r="M89" s="565"/>
      <c r="N89" s="565"/>
      <c r="O89" s="565"/>
      <c r="P89" s="565"/>
      <c r="Q89" s="565"/>
      <c r="R89" s="565"/>
      <c r="S89" s="565"/>
      <c r="T89" s="565"/>
      <c r="U89" s="565"/>
      <c r="V89" s="565"/>
      <c r="W89" s="565"/>
      <c r="X89" s="565"/>
      <c r="Y89" s="565"/>
      <c r="Z89" s="565"/>
      <c r="AA89" s="565"/>
      <c r="AB89" s="565"/>
      <c r="AC89" s="565"/>
      <c r="AD89" s="565"/>
      <c r="AE89" s="565"/>
      <c r="AF89" s="565"/>
      <c r="AG89" s="297"/>
      <c r="AH89" s="297"/>
      <c r="AI89" s="297"/>
      <c r="AJ89" s="297"/>
      <c r="AK89" s="297"/>
    </row>
    <row r="90" spans="1:37" customFormat="1" ht="15" customHeight="1">
      <c r="A90" s="565" t="s">
        <v>608</v>
      </c>
      <c r="B90" s="565"/>
      <c r="C90" s="565"/>
      <c r="D90" s="565"/>
      <c r="E90" s="565"/>
      <c r="F90" s="565"/>
      <c r="G90" s="565"/>
      <c r="H90" s="565"/>
      <c r="I90" s="565"/>
      <c r="J90" s="565"/>
      <c r="K90" s="565"/>
      <c r="L90" s="565"/>
      <c r="M90" s="565"/>
      <c r="N90" s="565"/>
      <c r="O90" s="565"/>
      <c r="P90" s="565"/>
      <c r="Q90" s="565"/>
      <c r="R90" s="565"/>
      <c r="S90" s="565"/>
      <c r="T90" s="565"/>
      <c r="U90" s="565"/>
      <c r="V90" s="565"/>
      <c r="W90" s="565"/>
      <c r="X90" s="565"/>
      <c r="Y90" s="565"/>
      <c r="Z90" s="565"/>
      <c r="AA90" s="565"/>
      <c r="AB90" s="565"/>
      <c r="AC90" s="565"/>
      <c r="AD90" s="565"/>
      <c r="AE90" s="565"/>
      <c r="AF90" s="565"/>
      <c r="AG90" s="297"/>
      <c r="AH90" s="297"/>
      <c r="AI90" s="297"/>
      <c r="AJ90" s="297"/>
      <c r="AK90" s="297"/>
    </row>
    <row r="91" spans="1:37" customFormat="1" ht="15" customHeight="1">
      <c r="A91" s="565" t="s">
        <v>609</v>
      </c>
      <c r="B91" s="565"/>
      <c r="C91" s="565"/>
      <c r="D91" s="565"/>
      <c r="E91" s="565"/>
      <c r="F91" s="565"/>
      <c r="G91" s="565"/>
      <c r="H91" s="565"/>
      <c r="I91" s="565"/>
      <c r="J91" s="565"/>
      <c r="K91" s="565"/>
      <c r="L91" s="565"/>
      <c r="M91" s="565"/>
      <c r="N91" s="565"/>
      <c r="O91" s="565"/>
      <c r="P91" s="565"/>
      <c r="Q91" s="565"/>
      <c r="R91" s="565"/>
      <c r="S91" s="565"/>
      <c r="T91" s="565"/>
      <c r="U91" s="565"/>
      <c r="V91" s="565"/>
      <c r="W91" s="565"/>
      <c r="X91" s="565"/>
      <c r="Y91" s="565"/>
      <c r="Z91" s="565"/>
      <c r="AA91" s="565"/>
      <c r="AB91" s="565"/>
      <c r="AC91" s="565"/>
      <c r="AD91" s="565"/>
      <c r="AE91" s="565"/>
      <c r="AF91" s="565"/>
      <c r="AG91" s="297"/>
      <c r="AH91" s="297"/>
      <c r="AI91" s="297"/>
      <c r="AJ91" s="297"/>
      <c r="AK91" s="297"/>
    </row>
    <row r="92" spans="1:37" customFormat="1" ht="15" customHeight="1">
      <c r="A92" s="565" t="s">
        <v>610</v>
      </c>
      <c r="B92" s="565"/>
      <c r="C92" s="565"/>
      <c r="D92" s="565"/>
      <c r="E92" s="565"/>
      <c r="F92" s="565"/>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297"/>
      <c r="AH92" s="297"/>
      <c r="AI92" s="297"/>
      <c r="AJ92" s="297"/>
      <c r="AK92" s="297"/>
    </row>
    <row r="93" spans="1:37" customFormat="1" ht="15" customHeight="1">
      <c r="A93" s="565" t="s">
        <v>611</v>
      </c>
      <c r="B93" s="565"/>
      <c r="C93" s="565"/>
      <c r="D93" s="565"/>
      <c r="E93" s="565"/>
      <c r="F93" s="565"/>
      <c r="G93" s="565"/>
      <c r="H93" s="565"/>
      <c r="I93" s="565"/>
      <c r="J93" s="565"/>
      <c r="K93" s="565"/>
      <c r="L93" s="565"/>
      <c r="M93" s="565"/>
      <c r="N93" s="565"/>
      <c r="O93" s="565"/>
      <c r="P93" s="565"/>
      <c r="Q93" s="565"/>
      <c r="R93" s="565"/>
      <c r="S93" s="565"/>
      <c r="T93" s="565"/>
      <c r="U93" s="565"/>
      <c r="V93" s="565"/>
      <c r="W93" s="565"/>
      <c r="X93" s="565"/>
      <c r="Y93" s="565"/>
      <c r="Z93" s="565"/>
      <c r="AA93" s="565"/>
      <c r="AB93" s="565"/>
      <c r="AC93" s="565"/>
      <c r="AD93" s="565"/>
      <c r="AE93" s="565"/>
      <c r="AF93" s="565"/>
      <c r="AG93" s="297"/>
      <c r="AH93" s="297"/>
      <c r="AI93" s="297"/>
      <c r="AJ93" s="297"/>
      <c r="AK93" s="297"/>
    </row>
    <row r="94" spans="1:37" customFormat="1" ht="15" customHeight="1">
      <c r="A94" s="565" t="s">
        <v>612</v>
      </c>
      <c r="B94" s="565"/>
      <c r="C94" s="565"/>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297"/>
      <c r="AH94" s="297"/>
      <c r="AI94" s="297"/>
      <c r="AJ94" s="297"/>
      <c r="AK94" s="297"/>
    </row>
    <row r="95" spans="1:37" customFormat="1" ht="15" customHeight="1">
      <c r="A95" s="565" t="s">
        <v>613</v>
      </c>
      <c r="B95" s="565"/>
      <c r="C95" s="565"/>
      <c r="D95" s="565"/>
      <c r="E95" s="565"/>
      <c r="F95" s="565"/>
      <c r="G95" s="565"/>
      <c r="H95" s="565"/>
      <c r="I95" s="565"/>
      <c r="J95" s="565"/>
      <c r="K95" s="565"/>
      <c r="L95" s="565"/>
      <c r="M95" s="565"/>
      <c r="N95" s="565"/>
      <c r="O95" s="565"/>
      <c r="P95" s="565"/>
      <c r="Q95" s="565"/>
      <c r="R95" s="565"/>
      <c r="S95" s="565"/>
      <c r="T95" s="565"/>
      <c r="U95" s="565"/>
      <c r="V95" s="565"/>
      <c r="W95" s="565"/>
      <c r="X95" s="565"/>
      <c r="Y95" s="565"/>
      <c r="Z95" s="565"/>
      <c r="AA95" s="565"/>
      <c r="AB95" s="565"/>
      <c r="AC95" s="565"/>
      <c r="AD95" s="565"/>
      <c r="AE95" s="565"/>
      <c r="AF95" s="565"/>
      <c r="AG95" s="297"/>
      <c r="AH95" s="297"/>
      <c r="AI95" s="297"/>
      <c r="AJ95" s="297"/>
      <c r="AK95" s="297"/>
    </row>
    <row r="96" spans="1:37" customFormat="1" ht="15" customHeight="1">
      <c r="A96" s="565" t="s">
        <v>614</v>
      </c>
      <c r="B96" s="565"/>
      <c r="C96" s="565"/>
      <c r="D96" s="565"/>
      <c r="E96" s="565"/>
      <c r="F96" s="565"/>
      <c r="G96" s="565"/>
      <c r="H96" s="565"/>
      <c r="I96" s="565"/>
      <c r="J96" s="565"/>
      <c r="K96" s="565"/>
      <c r="L96" s="565"/>
      <c r="M96" s="565"/>
      <c r="N96" s="565"/>
      <c r="O96" s="565"/>
      <c r="P96" s="565"/>
      <c r="Q96" s="565"/>
      <c r="R96" s="565"/>
      <c r="S96" s="565"/>
      <c r="T96" s="565"/>
      <c r="U96" s="565"/>
      <c r="V96" s="565"/>
      <c r="W96" s="565"/>
      <c r="X96" s="565"/>
      <c r="Y96" s="565"/>
      <c r="Z96" s="565"/>
      <c r="AA96" s="565"/>
      <c r="AB96" s="565"/>
      <c r="AC96" s="565"/>
      <c r="AD96" s="565"/>
      <c r="AE96" s="565"/>
      <c r="AF96" s="565"/>
      <c r="AG96" s="297"/>
      <c r="AH96" s="297"/>
      <c r="AI96" s="297"/>
      <c r="AJ96" s="297"/>
      <c r="AK96" s="297"/>
    </row>
    <row r="97" spans="1:37" customFormat="1" ht="15" customHeight="1">
      <c r="A97" s="565" t="s">
        <v>615</v>
      </c>
      <c r="B97" s="565"/>
      <c r="C97" s="565"/>
      <c r="D97" s="565"/>
      <c r="E97" s="565"/>
      <c r="F97" s="565"/>
      <c r="G97" s="565"/>
      <c r="H97" s="565"/>
      <c r="I97" s="565"/>
      <c r="J97" s="565"/>
      <c r="K97" s="565"/>
      <c r="L97" s="565"/>
      <c r="M97" s="565"/>
      <c r="N97" s="565"/>
      <c r="O97" s="565"/>
      <c r="P97" s="565"/>
      <c r="Q97" s="565"/>
      <c r="R97" s="565"/>
      <c r="S97" s="565"/>
      <c r="T97" s="565"/>
      <c r="U97" s="565"/>
      <c r="V97" s="565"/>
      <c r="W97" s="565"/>
      <c r="X97" s="565"/>
      <c r="Y97" s="565"/>
      <c r="Z97" s="565"/>
      <c r="AA97" s="565"/>
      <c r="AB97" s="565"/>
      <c r="AC97" s="565"/>
      <c r="AD97" s="565"/>
      <c r="AE97" s="565"/>
      <c r="AF97" s="565"/>
      <c r="AG97" s="297"/>
      <c r="AH97" s="297"/>
      <c r="AI97" s="297"/>
      <c r="AJ97" s="297"/>
      <c r="AK97" s="297"/>
    </row>
    <row r="98" spans="1:37" customFormat="1" ht="15" customHeight="1">
      <c r="A98" s="565" t="s">
        <v>616</v>
      </c>
      <c r="B98" s="565"/>
      <c r="C98" s="565"/>
      <c r="D98" s="565"/>
      <c r="E98" s="565"/>
      <c r="F98" s="565"/>
      <c r="G98" s="565"/>
      <c r="H98" s="565"/>
      <c r="I98" s="565"/>
      <c r="J98" s="565"/>
      <c r="K98" s="565"/>
      <c r="L98" s="565"/>
      <c r="M98" s="565"/>
      <c r="N98" s="565"/>
      <c r="O98" s="565"/>
      <c r="P98" s="565"/>
      <c r="Q98" s="565"/>
      <c r="R98" s="565"/>
      <c r="S98" s="565"/>
      <c r="T98" s="565"/>
      <c r="U98" s="565"/>
      <c r="V98" s="565"/>
      <c r="W98" s="565"/>
      <c r="X98" s="565"/>
      <c r="Y98" s="565"/>
      <c r="Z98" s="565"/>
      <c r="AA98" s="565"/>
      <c r="AB98" s="565"/>
      <c r="AC98" s="565"/>
      <c r="AD98" s="565"/>
      <c r="AE98" s="565"/>
      <c r="AF98" s="565"/>
      <c r="AG98" s="297"/>
      <c r="AH98" s="297"/>
      <c r="AI98" s="297"/>
      <c r="AJ98" s="297"/>
      <c r="AK98" s="297"/>
    </row>
    <row r="99" spans="1:37" customFormat="1" ht="15" customHeight="1">
      <c r="A99" s="565" t="s">
        <v>617</v>
      </c>
      <c r="B99" s="565"/>
      <c r="C99" s="565"/>
      <c r="D99" s="565"/>
      <c r="E99" s="565"/>
      <c r="F99" s="565"/>
      <c r="G99" s="565"/>
      <c r="H99" s="565"/>
      <c r="I99" s="565"/>
      <c r="J99" s="565"/>
      <c r="K99" s="565"/>
      <c r="L99" s="565"/>
      <c r="M99" s="565"/>
      <c r="N99" s="565"/>
      <c r="O99" s="565"/>
      <c r="P99" s="565"/>
      <c r="Q99" s="565"/>
      <c r="R99" s="565"/>
      <c r="S99" s="565"/>
      <c r="T99" s="565"/>
      <c r="U99" s="565"/>
      <c r="V99" s="565"/>
      <c r="W99" s="565"/>
      <c r="X99" s="565"/>
      <c r="Y99" s="565"/>
      <c r="Z99" s="565"/>
      <c r="AA99" s="565"/>
      <c r="AB99" s="565"/>
      <c r="AC99" s="565"/>
      <c r="AD99" s="565"/>
      <c r="AE99" s="565"/>
      <c r="AF99" s="565"/>
      <c r="AG99" s="297"/>
      <c r="AH99" s="297"/>
      <c r="AI99" s="297"/>
      <c r="AJ99" s="297"/>
      <c r="AK99" s="297"/>
    </row>
    <row r="100" spans="1:37" customFormat="1" ht="15" customHeight="1">
      <c r="A100" s="565" t="s">
        <v>618</v>
      </c>
      <c r="B100" s="565"/>
      <c r="C100" s="565"/>
      <c r="D100" s="565"/>
      <c r="E100" s="565"/>
      <c r="F100" s="565"/>
      <c r="G100" s="565"/>
      <c r="H100" s="565"/>
      <c r="I100" s="565"/>
      <c r="J100" s="565"/>
      <c r="K100" s="565"/>
      <c r="L100" s="565"/>
      <c r="M100" s="565"/>
      <c r="N100" s="565"/>
      <c r="O100" s="565"/>
      <c r="P100" s="565"/>
      <c r="Q100" s="565"/>
      <c r="R100" s="565"/>
      <c r="S100" s="565"/>
      <c r="T100" s="565"/>
      <c r="U100" s="565"/>
      <c r="V100" s="565"/>
      <c r="W100" s="565"/>
      <c r="X100" s="565"/>
      <c r="Y100" s="565"/>
      <c r="Z100" s="565"/>
      <c r="AA100" s="565"/>
      <c r="AB100" s="565"/>
      <c r="AC100" s="565"/>
      <c r="AD100" s="565"/>
      <c r="AE100" s="565"/>
      <c r="AF100" s="565"/>
      <c r="AG100" s="297"/>
      <c r="AH100" s="297"/>
      <c r="AI100" s="297"/>
      <c r="AJ100" s="297"/>
      <c r="AK100" s="297"/>
    </row>
    <row r="101" spans="1:37" customFormat="1" ht="15" customHeight="1">
      <c r="A101" s="565" t="s">
        <v>619</v>
      </c>
      <c r="B101" s="565"/>
      <c r="C101" s="565"/>
      <c r="D101" s="565"/>
      <c r="E101" s="565"/>
      <c r="F101" s="565"/>
      <c r="G101" s="565"/>
      <c r="H101" s="565"/>
      <c r="I101" s="565"/>
      <c r="J101" s="565"/>
      <c r="K101" s="565"/>
      <c r="L101" s="565"/>
      <c r="M101" s="565"/>
      <c r="N101" s="565"/>
      <c r="O101" s="565"/>
      <c r="P101" s="565"/>
      <c r="Q101" s="565"/>
      <c r="R101" s="565"/>
      <c r="S101" s="565"/>
      <c r="T101" s="565"/>
      <c r="U101" s="565"/>
      <c r="V101" s="565"/>
      <c r="W101" s="565"/>
      <c r="X101" s="565"/>
      <c r="Y101" s="565"/>
      <c r="Z101" s="565"/>
      <c r="AA101" s="565"/>
      <c r="AB101" s="565"/>
      <c r="AC101" s="565"/>
      <c r="AD101" s="565"/>
      <c r="AE101" s="565"/>
      <c r="AF101" s="565"/>
      <c r="AG101" s="297"/>
      <c r="AH101" s="297"/>
      <c r="AI101" s="297"/>
      <c r="AJ101" s="297"/>
      <c r="AK101" s="297"/>
    </row>
    <row r="102" spans="1:37" customFormat="1" ht="15" customHeight="1">
      <c r="A102" s="565" t="s">
        <v>620</v>
      </c>
      <c r="B102" s="565"/>
      <c r="C102" s="565"/>
      <c r="D102" s="565"/>
      <c r="E102" s="565"/>
      <c r="F102" s="565"/>
      <c r="G102" s="565"/>
      <c r="H102" s="565"/>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5"/>
      <c r="AE102" s="565"/>
      <c r="AF102" s="565"/>
      <c r="AG102" s="297"/>
      <c r="AH102" s="297"/>
      <c r="AI102" s="297"/>
      <c r="AJ102" s="297"/>
      <c r="AK102" s="297"/>
    </row>
    <row r="103" spans="1:37" customFormat="1" ht="15" customHeight="1">
      <c r="A103" s="565" t="s">
        <v>621</v>
      </c>
      <c r="B103" s="565"/>
      <c r="C103" s="565"/>
      <c r="D103" s="565"/>
      <c r="E103" s="565"/>
      <c r="F103" s="565"/>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5"/>
      <c r="AD103" s="565"/>
      <c r="AE103" s="565"/>
      <c r="AF103" s="565"/>
      <c r="AG103" s="297"/>
      <c r="AH103" s="297"/>
      <c r="AI103" s="297"/>
      <c r="AJ103" s="297"/>
      <c r="AK103" s="297"/>
    </row>
    <row r="104" spans="1:37" customFormat="1" ht="15" customHeight="1">
      <c r="A104" s="565" t="s">
        <v>622</v>
      </c>
      <c r="B104" s="565"/>
      <c r="C104" s="565"/>
      <c r="D104" s="565"/>
      <c r="E104" s="565"/>
      <c r="F104" s="565"/>
      <c r="G104" s="565"/>
      <c r="H104" s="565"/>
      <c r="I104" s="565"/>
      <c r="J104" s="565"/>
      <c r="K104" s="565"/>
      <c r="L104" s="565"/>
      <c r="M104" s="565"/>
      <c r="N104" s="565"/>
      <c r="O104" s="565"/>
      <c r="P104" s="565"/>
      <c r="Q104" s="565"/>
      <c r="R104" s="565"/>
      <c r="S104" s="565"/>
      <c r="T104" s="565"/>
      <c r="U104" s="565"/>
      <c r="V104" s="565"/>
      <c r="W104" s="565"/>
      <c r="X104" s="565"/>
      <c r="Y104" s="565"/>
      <c r="Z104" s="565"/>
      <c r="AA104" s="565"/>
      <c r="AB104" s="565"/>
      <c r="AC104" s="565"/>
      <c r="AD104" s="565"/>
      <c r="AE104" s="565"/>
      <c r="AF104" s="565"/>
      <c r="AG104" s="297"/>
      <c r="AH104" s="297"/>
      <c r="AI104" s="297"/>
      <c r="AJ104" s="297"/>
      <c r="AK104" s="297"/>
    </row>
    <row r="105" spans="1:37" customFormat="1" ht="15" customHeight="1">
      <c r="A105" s="565" t="s">
        <v>623</v>
      </c>
      <c r="B105" s="565"/>
      <c r="C105" s="565"/>
      <c r="D105" s="565"/>
      <c r="E105" s="565"/>
      <c r="F105" s="565"/>
      <c r="G105" s="565"/>
      <c r="H105" s="565"/>
      <c r="I105" s="565"/>
      <c r="J105" s="565"/>
      <c r="K105" s="565"/>
      <c r="L105" s="565"/>
      <c r="M105" s="565"/>
      <c r="N105" s="565"/>
      <c r="O105" s="565"/>
      <c r="P105" s="565"/>
      <c r="Q105" s="565"/>
      <c r="R105" s="565"/>
      <c r="S105" s="565"/>
      <c r="T105" s="565"/>
      <c r="U105" s="565"/>
      <c r="V105" s="565"/>
      <c r="W105" s="565"/>
      <c r="X105" s="565"/>
      <c r="Y105" s="565"/>
      <c r="Z105" s="565"/>
      <c r="AA105" s="565"/>
      <c r="AB105" s="565"/>
      <c r="AC105" s="565"/>
      <c r="AD105" s="565"/>
      <c r="AE105" s="565"/>
      <c r="AF105" s="565"/>
      <c r="AG105" s="297"/>
      <c r="AH105" s="297"/>
      <c r="AI105" s="297"/>
      <c r="AJ105" s="297"/>
      <c r="AK105" s="297"/>
    </row>
    <row r="106" spans="1:37" customFormat="1" ht="15" customHeight="1">
      <c r="A106" s="565" t="s">
        <v>624</v>
      </c>
      <c r="B106" s="565"/>
      <c r="C106" s="565"/>
      <c r="D106" s="565"/>
      <c r="E106" s="565"/>
      <c r="F106" s="565"/>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297"/>
      <c r="AH106" s="297"/>
      <c r="AI106" s="297"/>
      <c r="AJ106" s="297"/>
      <c r="AK106" s="297"/>
    </row>
    <row r="107" spans="1:37" customFormat="1" ht="15" customHeight="1">
      <c r="A107" s="565" t="s">
        <v>625</v>
      </c>
      <c r="B107" s="565"/>
      <c r="C107" s="565"/>
      <c r="D107" s="565"/>
      <c r="E107" s="565"/>
      <c r="F107" s="565"/>
      <c r="G107" s="565"/>
      <c r="H107" s="565"/>
      <c r="I107" s="565"/>
      <c r="J107" s="565"/>
      <c r="K107" s="565"/>
      <c r="L107" s="565"/>
      <c r="M107" s="565"/>
      <c r="N107" s="565"/>
      <c r="O107" s="565"/>
      <c r="P107" s="565"/>
      <c r="Q107" s="565"/>
      <c r="R107" s="565"/>
      <c r="S107" s="565"/>
      <c r="T107" s="565"/>
      <c r="U107" s="565"/>
      <c r="V107" s="565"/>
      <c r="W107" s="565"/>
      <c r="X107" s="565"/>
      <c r="Y107" s="565"/>
      <c r="Z107" s="565"/>
      <c r="AA107" s="565"/>
      <c r="AB107" s="565"/>
      <c r="AC107" s="565"/>
      <c r="AD107" s="565"/>
      <c r="AE107" s="565"/>
      <c r="AF107" s="565"/>
      <c r="AG107" s="297"/>
      <c r="AH107" s="297"/>
      <c r="AI107" s="297"/>
      <c r="AJ107" s="297"/>
      <c r="AK107" s="297"/>
    </row>
    <row r="108" spans="1:37" customFormat="1" ht="15" customHeight="1">
      <c r="A108" s="565" t="s">
        <v>626</v>
      </c>
      <c r="B108" s="565"/>
      <c r="C108" s="565"/>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5"/>
      <c r="AD108" s="565"/>
      <c r="AE108" s="565"/>
      <c r="AF108" s="565"/>
      <c r="AG108" s="297"/>
      <c r="AH108" s="297"/>
      <c r="AI108" s="297"/>
      <c r="AJ108" s="297"/>
      <c r="AK108" s="297"/>
    </row>
    <row r="109" spans="1:37" customFormat="1" ht="15" customHeight="1">
      <c r="A109" s="565" t="s">
        <v>627</v>
      </c>
      <c r="B109" s="565"/>
      <c r="C109" s="565"/>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565"/>
      <c r="AD109" s="565"/>
      <c r="AE109" s="565"/>
      <c r="AF109" s="565"/>
      <c r="AG109" s="297"/>
      <c r="AH109" s="297"/>
      <c r="AI109" s="297"/>
      <c r="AJ109" s="297"/>
      <c r="AK109" s="297"/>
    </row>
  </sheetData>
  <mergeCells count="32">
    <mergeCell ref="A109:AF109"/>
    <mergeCell ref="A102:AF102"/>
    <mergeCell ref="A103:AF103"/>
    <mergeCell ref="A104:AF104"/>
    <mergeCell ref="A105:AF105"/>
    <mergeCell ref="A106:AF106"/>
    <mergeCell ref="A107:AF107"/>
    <mergeCell ref="A98:AF98"/>
    <mergeCell ref="A99:AF99"/>
    <mergeCell ref="A100:AF100"/>
    <mergeCell ref="A101:AF101"/>
    <mergeCell ref="A108:AF108"/>
    <mergeCell ref="A93:AF93"/>
    <mergeCell ref="A94:AF94"/>
    <mergeCell ref="A95:AF95"/>
    <mergeCell ref="A96:AF96"/>
    <mergeCell ref="A97:AF97"/>
    <mergeCell ref="A88:AF88"/>
    <mergeCell ref="A89:AF89"/>
    <mergeCell ref="A90:AF90"/>
    <mergeCell ref="A91:AF91"/>
    <mergeCell ref="A92:AF92"/>
    <mergeCell ref="A83:AF83"/>
    <mergeCell ref="A84:AF84"/>
    <mergeCell ref="A85:AF85"/>
    <mergeCell ref="A86:AF86"/>
    <mergeCell ref="A87:AF87"/>
    <mergeCell ref="A78:AF78"/>
    <mergeCell ref="A79:AF79"/>
    <mergeCell ref="A80:AF80"/>
    <mergeCell ref="A81:AF81"/>
    <mergeCell ref="A82:AF82"/>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529</v>
      </c>
    </row>
    <row r="4" spans="1:2">
      <c r="A4" t="s">
        <v>552</v>
      </c>
    </row>
    <row r="5" spans="1:2">
      <c r="B5" t="s">
        <v>528</v>
      </c>
    </row>
    <row r="7" spans="1:2">
      <c r="A7" t="s">
        <v>716</v>
      </c>
    </row>
    <row r="9" spans="1:2">
      <c r="A9" t="s">
        <v>527</v>
      </c>
    </row>
    <row r="10" spans="1:2">
      <c r="B10" t="s">
        <v>521</v>
      </c>
    </row>
    <row r="12" spans="1:2">
      <c r="A12" t="s">
        <v>710</v>
      </c>
    </row>
    <row r="14" spans="1:2">
      <c r="A14" t="s">
        <v>520</v>
      </c>
    </row>
    <row r="15" spans="1:2">
      <c r="B15" t="s">
        <v>522</v>
      </c>
    </row>
    <row r="17" spans="1:1">
      <c r="A17" t="s">
        <v>525</v>
      </c>
    </row>
    <row r="19" spans="1:1">
      <c r="A19" t="s">
        <v>526</v>
      </c>
    </row>
    <row r="21" spans="1:1">
      <c r="A21" t="s">
        <v>551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44"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27" customWidth="1"/>
    <col min="6" max="6" width="17" style="327" customWidth="1"/>
    <col min="7" max="7" width="15.5" style="327" customWidth="1"/>
    <col min="8" max="8" width="16.1640625" style="399"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0" customWidth="1"/>
    <col min="35" max="35" width="20.6640625" bestFit="1" customWidth="1"/>
    <col min="36" max="36" width="15.33203125" bestFit="1" customWidth="1"/>
    <col min="37" max="37" width="13.33203125" bestFit="1" customWidth="1"/>
    <col min="38" max="38" width="13.83203125" customWidth="1"/>
  </cols>
  <sheetData>
    <row r="1" spans="1:38" hidden="1">
      <c r="A1" s="535"/>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row>
    <row r="2" spans="1:38" hidden="1">
      <c r="A2" s="535"/>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row>
    <row r="3" spans="1:38" hidden="1">
      <c r="A3" s="535"/>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row>
    <row r="4" spans="1:38" hidden="1">
      <c r="A4" s="535"/>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row>
    <row r="5" spans="1:38" hidden="1">
      <c r="A5" s="535"/>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row>
    <row r="6" spans="1:38" hidden="1">
      <c r="A6" s="535"/>
      <c r="B6" s="535"/>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5"/>
      <c r="AJ6" s="535"/>
      <c r="AK6" s="535"/>
      <c r="AL6" s="535"/>
    </row>
    <row r="7" spans="1:38" ht="23.25" hidden="1" customHeight="1">
      <c r="A7" s="535"/>
      <c r="B7" s="535"/>
      <c r="C7" s="535"/>
      <c r="D7" s="535"/>
      <c r="E7" s="535"/>
      <c r="F7" s="535"/>
      <c r="G7" s="535"/>
      <c r="H7" s="535"/>
      <c r="I7" s="535"/>
      <c r="J7" s="535"/>
      <c r="K7" s="535"/>
      <c r="L7" s="535"/>
      <c r="M7" s="535"/>
      <c r="N7" s="535"/>
      <c r="O7" s="535"/>
      <c r="P7" s="535"/>
      <c r="Q7" s="535"/>
      <c r="R7" s="535"/>
      <c r="S7" s="535"/>
      <c r="T7" s="535"/>
      <c r="U7" s="535"/>
      <c r="V7" s="535"/>
      <c r="W7" s="535"/>
      <c r="X7" s="535"/>
      <c r="Y7" s="535"/>
      <c r="Z7" s="535"/>
      <c r="AA7" s="535"/>
      <c r="AB7" s="535"/>
      <c r="AC7" s="535"/>
      <c r="AD7" s="535"/>
      <c r="AE7" s="535"/>
      <c r="AF7" s="535"/>
      <c r="AG7" s="535"/>
      <c r="AH7" s="535"/>
      <c r="AI7" s="535"/>
      <c r="AJ7" s="535"/>
      <c r="AK7" s="535"/>
      <c r="AL7" s="535"/>
    </row>
    <row r="8" spans="1:38" s="159" customFormat="1" ht="15.75" hidden="1" customHeight="1">
      <c r="A8" s="535"/>
      <c r="B8" s="535"/>
      <c r="C8" s="535"/>
      <c r="D8" s="535"/>
      <c r="E8" s="535"/>
      <c r="F8" s="535"/>
      <c r="G8" s="535"/>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35"/>
    </row>
    <row r="9" spans="1:38" ht="21" hidden="1" customHeight="1">
      <c r="A9" s="535"/>
      <c r="B9" s="535"/>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row>
    <row r="10" spans="1:38">
      <c r="A10" t="s">
        <v>188</v>
      </c>
      <c r="B10" s="33" t="s">
        <v>127</v>
      </c>
      <c r="Y10" s="20"/>
      <c r="Z10" s="20"/>
      <c r="AA10" s="20"/>
      <c r="AB10" s="20"/>
      <c r="AC10" s="20"/>
      <c r="AD10" s="20"/>
      <c r="AE10" s="20"/>
      <c r="AF10" s="20"/>
      <c r="AG10" s="20"/>
      <c r="AH10" s="279"/>
    </row>
    <row r="11" spans="1:38" s="1" customFormat="1">
      <c r="B11" s="13"/>
      <c r="C11" s="328">
        <v>2009</v>
      </c>
      <c r="D11" s="328">
        <v>2010</v>
      </c>
      <c r="E11" s="328">
        <v>2011</v>
      </c>
      <c r="F11" s="328">
        <v>2012</v>
      </c>
      <c r="G11" s="328">
        <v>2013</v>
      </c>
      <c r="H11" s="400">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328"/>
      <c r="D12" s="328"/>
      <c r="E12" s="328"/>
      <c r="F12" s="328"/>
      <c r="G12" s="328"/>
      <c r="H12" s="400"/>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79"/>
    </row>
    <row r="13" spans="1:38" s="20" customFormat="1">
      <c r="A13" s="20" t="s">
        <v>130</v>
      </c>
      <c r="B13" s="33"/>
      <c r="C13" s="330">
        <f>EIA_electricity_aeo2014!E58*1000</f>
        <v>104173</v>
      </c>
      <c r="D13" s="330">
        <f>EIA_electricity_aeo2014!F58*1000</f>
        <v>103125.99999999999</v>
      </c>
      <c r="E13" s="330">
        <f>EIA_electricity_aeo2014!G58*1000</f>
        <v>115812.75047939325</v>
      </c>
      <c r="F13" s="330">
        <f>EIA_electricity_aeo2014!H58*1000</f>
        <v>117478.19843405332</v>
      </c>
      <c r="G13" s="330">
        <f>EIA_electricity_aeo2014!I58*1000</f>
        <v>104116.144614042</v>
      </c>
      <c r="H13" s="286">
        <f>EIA_electricity_aeo2014!J58*1000</f>
        <v>105672.06241958508</v>
      </c>
      <c r="I13" s="83">
        <f>EIA_electricity_aeo2014!K58*1000</f>
        <v>103484.00495338778</v>
      </c>
      <c r="J13" s="83">
        <f>EIA_electricity_aeo2014!L58*1000</f>
        <v>105780.62444073515</v>
      </c>
      <c r="K13" s="83">
        <f>EIA_electricity_aeo2014!M58*1000</f>
        <v>106988.03984739888</v>
      </c>
      <c r="L13" s="83">
        <f>EIA_electricity_aeo2014!N58*1000</f>
        <v>107899.77222836405</v>
      </c>
      <c r="M13" s="83">
        <f>EIA_electricity_aeo2014!O58*1000</f>
        <v>108599.6414147646</v>
      </c>
      <c r="N13" s="177">
        <f>EIA_electricity_aeo2014!P58*1000</f>
        <v>109133.68334510838</v>
      </c>
      <c r="O13" s="83">
        <f>EIA_electricity_aeo2014!Q58*1000</f>
        <v>110984.79299150768</v>
      </c>
      <c r="P13" s="83">
        <f>EIA_electricity_aeo2014!R58*1000</f>
        <v>112407.01512100484</v>
      </c>
      <c r="Q13" s="83">
        <f>EIA_electricity_aeo2014!S58*1000</f>
        <v>113488.26575893839</v>
      </c>
      <c r="R13" s="83">
        <f>EIA_electricity_aeo2014!T58*1000</f>
        <v>114010.42635187863</v>
      </c>
      <c r="S13" s="83">
        <f>EIA_electricity_aeo2014!U58*1000</f>
        <v>114737.12367183574</v>
      </c>
      <c r="T13" s="83">
        <f>EIA_electricity_aeo2014!V58*1000</f>
        <v>115990.0739747007</v>
      </c>
      <c r="U13" s="83">
        <f>EIA_electricity_aeo2014!W58*1000</f>
        <v>116671.36604902388</v>
      </c>
      <c r="V13" s="83">
        <f>EIA_electricity_aeo2014!X58*1000</f>
        <v>117134.62350488386</v>
      </c>
      <c r="W13" s="83">
        <f>EIA_electricity_aeo2014!Y58*1000</f>
        <v>118520.33029192075</v>
      </c>
      <c r="X13" s="184">
        <f>EIA_electricity_aeo2014!Z58*1000</f>
        <v>119409.56331171907</v>
      </c>
      <c r="Y13" s="174">
        <f>EIA_electricity_aeo2014!AA58*1000</f>
        <v>119595.99526057656</v>
      </c>
      <c r="Z13" s="174">
        <f>EIA_electricity_aeo2014!AB58*1000</f>
        <v>120503.34504553949</v>
      </c>
      <c r="AA13" s="174">
        <f>EIA_electricity_aeo2014!AC58*1000</f>
        <v>120991.8862958666</v>
      </c>
      <c r="AB13" s="174">
        <f>EIA_electricity_aeo2014!AD58*1000</f>
        <v>121293.28050375541</v>
      </c>
      <c r="AC13" s="174">
        <f>EIA_electricity_aeo2014!AE58*1000</f>
        <v>121735.81544148823</v>
      </c>
      <c r="AD13" s="174">
        <f>EIA_electricity_aeo2014!AF58*1000</f>
        <v>122315.67057491517</v>
      </c>
      <c r="AE13" s="174">
        <f>EIA_electricity_aeo2014!AG58*1000</f>
        <v>123152.77008098048</v>
      </c>
      <c r="AF13" s="174">
        <f>EIA_electricity_aeo2014!AH58*1000</f>
        <v>123754.65620947603</v>
      </c>
      <c r="AG13" s="174">
        <f>EIA_electricity_aeo2014!AI58*1000</f>
        <v>125068.98250094685</v>
      </c>
      <c r="AH13" s="184">
        <f>EIA_electricity_aeo2014!AJ58*1000</f>
        <v>126011.66771328847</v>
      </c>
      <c r="AI13" s="115">
        <f>X13/C13-1</f>
        <v>0.1462621150559078</v>
      </c>
      <c r="AJ13" s="165">
        <f>(1+AJ11)^21-1</f>
        <v>0.24007814276920247</v>
      </c>
      <c r="AK13" s="168">
        <f>(1+AK11)^21-1</f>
        <v>0.11389489977934208</v>
      </c>
      <c r="AL13" s="121"/>
    </row>
    <row r="14" spans="1:38" s="20" customFormat="1">
      <c r="A14" s="20" t="s">
        <v>131</v>
      </c>
      <c r="B14" s="33"/>
      <c r="C14" s="330">
        <f>EIA_electricity_aeo2014!E58 * 1000</f>
        <v>104173</v>
      </c>
      <c r="D14" s="330">
        <f>IF(Inputs!$C$7="BAU",'Output -Jobs vs Yr'!D13,C14+($X$14-$C$14)/($X$11-$C$11) )</f>
        <v>103125.99999999999</v>
      </c>
      <c r="E14" s="330">
        <f>IF(Inputs!$C$7="BAU",'Output -Jobs vs Yr'!E13,D14+($X$14-$C$14)/($X$11-$C$11) )</f>
        <v>115812.75047939325</v>
      </c>
      <c r="F14" s="330">
        <f>IF(Inputs!$C$7="BAU",'Output -Jobs vs Yr'!F13,E14+($X$14-$C$14)/($X$11-$C$11) )</f>
        <v>117478.19843405332</v>
      </c>
      <c r="G14" s="330">
        <f>IF(Inputs!$C$7="BAU",'Output -Jobs vs Yr'!G13,F14+($X$14-$C$14)/($X$11-$C$11) )</f>
        <v>104116.144614042</v>
      </c>
      <c r="H14" s="286">
        <f>EIA_electricity_aeo2014!J58*1000</f>
        <v>105672.06241958508</v>
      </c>
      <c r="I14" s="83">
        <f>IF(Inputs!$C$7="BAU",'Output -Jobs vs Yr'!I13,H14+($X$14-$C$14)/($X$11-$C$11) )</f>
        <v>103484.00495338778</v>
      </c>
      <c r="J14" s="83">
        <f>IF(Inputs!$C$7="BAU",'Output -Jobs vs Yr'!J13,I14+($X$14-$C$14)/($X$11-$C$11) )</f>
        <v>105780.62444073515</v>
      </c>
      <c r="K14" s="83">
        <f>IF(Inputs!$C$7="BAU",'Output -Jobs vs Yr'!K13,J14+($X$14-$C$14)/($X$11-$C$11) )</f>
        <v>106988.03984739888</v>
      </c>
      <c r="L14" s="83">
        <f>IF(Inputs!$C$7="BAU",'Output -Jobs vs Yr'!L13,K14+($X$14-$C$14)/($X$11-$C$11) )</f>
        <v>107899.77222836405</v>
      </c>
      <c r="M14" s="83">
        <f>IF(Inputs!$C$7="BAU",'Output -Jobs vs Yr'!M13,L14+($X$14-$C$14)/($X$11-$C$11) )</f>
        <v>108599.6414147646</v>
      </c>
      <c r="N14" s="177">
        <f>IF(Inputs!$C$7="BAU",'Output -Jobs vs Yr'!N13,M14+($X$14-$C$14)/($X$11-$C$11) )</f>
        <v>109133.68334510838</v>
      </c>
      <c r="O14" s="83">
        <f>IF(Inputs!$C$7="BAU",'Output -Jobs vs Yr'!O13,N14+($X$14-$C$14)/($X$11-$C$11) )</f>
        <v>110984.79299150768</v>
      </c>
      <c r="P14" s="83">
        <f>IF(Inputs!$C$7="BAU",'Output -Jobs vs Yr'!P13,O14+($X$14-$C$14)/($X$11-$C$11) )</f>
        <v>112407.01512100484</v>
      </c>
      <c r="Q14" s="83">
        <f>IF(Inputs!$C$7="BAU",'Output -Jobs vs Yr'!Q13,P14+($X$14-$C$14)/($X$11-$C$11) )</f>
        <v>113488.26575893839</v>
      </c>
      <c r="R14" s="83">
        <f>IF(Inputs!$C$7="BAU",'Output -Jobs vs Yr'!R13,Q14+($X$14-$C$14)/($X$11-$C$11) )</f>
        <v>114010.42635187863</v>
      </c>
      <c r="S14" s="83">
        <f>IF(Inputs!$C$7="BAU",'Output -Jobs vs Yr'!S13,R14+($X$14-$C$14)/($X$11-$C$11) )</f>
        <v>114737.12367183574</v>
      </c>
      <c r="T14" s="83">
        <f>IF(Inputs!$C$7="BAU",'Output -Jobs vs Yr'!T13,S14+($X$14-$C$14)/($X$11-$C$11) )</f>
        <v>115990.0739747007</v>
      </c>
      <c r="U14" s="83">
        <f>IF(Inputs!$C$7="BAU",'Output -Jobs vs Yr'!U13,T14+($X$14-$C$14)/($X$11-$C$11) )</f>
        <v>116671.36604902388</v>
      </c>
      <c r="V14" s="83">
        <f>IF(Inputs!$C$7="BAU",'Output -Jobs vs Yr'!V13,U14+($X$14-$C$14)/($X$11-$C$11) )</f>
        <v>117134.62350488386</v>
      </c>
      <c r="W14" s="83">
        <f>IF(Inputs!$C$7="BAU",'Output -Jobs vs Yr'!W13,V14+($X$14-$C$14)/($X$11-$C$11) )</f>
        <v>118520.33029192075</v>
      </c>
      <c r="X14" s="184">
        <f>IF(Inputs!$C$7="BAU",'Output -Jobs vs Yr'!X13,C14*(1+Inputs!C7) )</f>
        <v>119409.56331171907</v>
      </c>
      <c r="Y14" s="174">
        <f>IF(Inputs!$C$7="BAU",'Output -Jobs vs Yr'!Y13,D14*(1+Inputs!D7) )</f>
        <v>119595.99526057656</v>
      </c>
      <c r="Z14" s="174">
        <f>IF(Inputs!$C$7="BAU",'Output -Jobs vs Yr'!Z13,E14*(1+Inputs!E7) )</f>
        <v>120503.34504553949</v>
      </c>
      <c r="AA14" s="174">
        <f>IF(Inputs!$C$7="BAU",'Output -Jobs vs Yr'!AA13,F14*(1+Inputs!F7) )</f>
        <v>120991.8862958666</v>
      </c>
      <c r="AB14" s="174">
        <f>IF(Inputs!$C$7="BAU",'Output -Jobs vs Yr'!AB13,G14*(1+Inputs!G7) )</f>
        <v>121293.28050375541</v>
      </c>
      <c r="AC14" s="174">
        <f>IF(Inputs!$C$7="BAU",'Output -Jobs vs Yr'!AC13,H14*(1+Inputs!H7) )</f>
        <v>121735.81544148823</v>
      </c>
      <c r="AD14" s="174">
        <f>IF(Inputs!$C$7="BAU",'Output -Jobs vs Yr'!AD13,I14*(1+Inputs!L7) )</f>
        <v>122315.67057491517</v>
      </c>
      <c r="AE14" s="174">
        <f>IF(Inputs!$C$7="BAU",'Output -Jobs vs Yr'!AE13,J14*(1+Inputs!M7) )</f>
        <v>123152.77008098048</v>
      </c>
      <c r="AF14" s="174">
        <f>IF(Inputs!$C$7="BAU",'Output -Jobs vs Yr'!AF13,K14*(1+Inputs!N7) )</f>
        <v>123754.65620947603</v>
      </c>
      <c r="AG14" s="174">
        <f>IF(Inputs!$C$7="BAU",'Output -Jobs vs Yr'!AG13,L14*(1+Inputs!O7) )</f>
        <v>125068.98250094685</v>
      </c>
      <c r="AH14" s="184">
        <f>IF(Inputs!$C$7="BAU",'Output -Jobs vs Yr'!AH13,M14*(1+Inputs!P7) )</f>
        <v>126011.66771328847</v>
      </c>
      <c r="AI14" s="99"/>
      <c r="AJ14" s="165" t="s">
        <v>0</v>
      </c>
      <c r="AK14" s="30" t="s">
        <v>0</v>
      </c>
      <c r="AL14" s="121"/>
    </row>
    <row r="15" spans="1:38" s="20" customFormat="1">
      <c r="A15" s="20" t="s">
        <v>208</v>
      </c>
      <c r="B15" s="33"/>
      <c r="C15" s="330">
        <f>C14-C13</f>
        <v>0</v>
      </c>
      <c r="D15" s="330">
        <f>D13-D14</f>
        <v>0</v>
      </c>
      <c r="E15" s="330">
        <f t="shared" ref="E15:AH15" si="0">E13-E14</f>
        <v>0</v>
      </c>
      <c r="F15" s="330">
        <f t="shared" si="0"/>
        <v>0</v>
      </c>
      <c r="G15" s="330">
        <f t="shared" si="0"/>
        <v>0</v>
      </c>
      <c r="H15" s="286">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79" customFormat="1">
      <c r="A16" s="379" t="s">
        <v>123</v>
      </c>
      <c r="B16" s="380"/>
      <c r="C16" s="381">
        <f t="shared" ref="C16:M16" si="1">C95</f>
        <v>4.8313958511322516E-2</v>
      </c>
      <c r="D16" s="381">
        <f t="shared" si="1"/>
        <v>6.4057664641997497E-2</v>
      </c>
      <c r="E16" s="381">
        <f t="shared" si="1"/>
        <v>6.1723104776269938E-2</v>
      </c>
      <c r="F16" s="381">
        <f t="shared" si="1"/>
        <v>7.0168015475195189E-2</v>
      </c>
      <c r="G16" s="381">
        <f t="shared" si="1"/>
        <v>9.0122543919529757E-2</v>
      </c>
      <c r="H16" s="381">
        <f t="shared" si="1"/>
        <v>7.7375019218485525E-2</v>
      </c>
      <c r="I16" s="381">
        <f t="shared" si="1"/>
        <v>8.6348166370363008E-2</v>
      </c>
      <c r="J16" s="381">
        <f t="shared" si="1"/>
        <v>9.6263217400567536E-2</v>
      </c>
      <c r="K16" s="381">
        <f t="shared" si="1"/>
        <v>0.10746309577461222</v>
      </c>
      <c r="L16" s="381">
        <f t="shared" si="1"/>
        <v>0.12003858081013484</v>
      </c>
      <c r="M16" s="381">
        <f t="shared" si="1"/>
        <v>0.13417027271970511</v>
      </c>
      <c r="N16" s="381">
        <f>Inputs!C11</f>
        <v>0.15</v>
      </c>
      <c r="O16" s="381">
        <f t="shared" ref="O16:W16" si="2">O95</f>
        <v>0.15196132762420861</v>
      </c>
      <c r="P16" s="381">
        <f t="shared" si="2"/>
        <v>0.15388235252593813</v>
      </c>
      <c r="Q16" s="381">
        <f t="shared" si="2"/>
        <v>0.15582753654919962</v>
      </c>
      <c r="R16" s="381">
        <f t="shared" si="2"/>
        <v>0.15779743764436521</v>
      </c>
      <c r="S16" s="381">
        <f t="shared" si="2"/>
        <v>0.15979178112601794</v>
      </c>
      <c r="T16" s="381">
        <f t="shared" si="2"/>
        <v>0.16181052839169943</v>
      </c>
      <c r="U16" s="381">
        <f t="shared" si="2"/>
        <v>0.16385503231768422</v>
      </c>
      <c r="V16" s="381">
        <f t="shared" si="2"/>
        <v>0.1659253348818473</v>
      </c>
      <c r="W16" s="381">
        <f t="shared" si="2"/>
        <v>0.16802048552746179</v>
      </c>
      <c r="X16" s="382">
        <f>Inputs!C12</f>
        <v>0.17</v>
      </c>
      <c r="Y16" s="383">
        <f>Y95</f>
        <v>0.17293591046429532</v>
      </c>
      <c r="Z16" s="383">
        <f t="shared" ref="Z16:AG16" si="3">Z95</f>
        <v>0.17577411989721409</v>
      </c>
      <c r="AA16" s="383">
        <f t="shared" si="3"/>
        <v>0.1786591762701448</v>
      </c>
      <c r="AB16" s="383">
        <f t="shared" si="3"/>
        <v>0.18159158368199865</v>
      </c>
      <c r="AC16" s="383">
        <f t="shared" si="3"/>
        <v>0.18457165131447628</v>
      </c>
      <c r="AD16" s="383">
        <f t="shared" si="3"/>
        <v>0.18760015509695455</v>
      </c>
      <c r="AE16" s="383">
        <f t="shared" si="3"/>
        <v>0.19067768197609705</v>
      </c>
      <c r="AF16" s="383">
        <f t="shared" si="3"/>
        <v>0.19380581337508954</v>
      </c>
      <c r="AG16" s="383">
        <f t="shared" si="3"/>
        <v>0.19698382076833817</v>
      </c>
      <c r="AH16" s="382">
        <f>Inputs!C13</f>
        <v>0.2</v>
      </c>
      <c r="AI16" s="384" t="s">
        <v>0</v>
      </c>
      <c r="AJ16" s="385"/>
      <c r="AK16" s="386"/>
      <c r="AL16" s="387"/>
    </row>
    <row r="17" spans="1:37" s="281" customFormat="1">
      <c r="A17" s="281" t="s">
        <v>115</v>
      </c>
      <c r="B17" s="282"/>
      <c r="C17" s="337"/>
      <c r="D17" s="332">
        <f>D16/C16-1</f>
        <v>0.32586247568568405</v>
      </c>
      <c r="E17" s="332">
        <f t="shared" ref="E17:M17" si="4">E16/D16-1</f>
        <v>-3.6444660896940873E-2</v>
      </c>
      <c r="F17" s="332">
        <f t="shared" si="4"/>
        <v>0.13681927909387959</v>
      </c>
      <c r="G17" s="332">
        <f t="shared" si="4"/>
        <v>0.28438211212327369</v>
      </c>
      <c r="H17" s="284"/>
      <c r="I17" s="284">
        <f t="shared" si="4"/>
        <v>0.11596956281897408</v>
      </c>
      <c r="J17" s="284">
        <f t="shared" si="4"/>
        <v>0.11482642245901409</v>
      </c>
      <c r="K17" s="284">
        <f t="shared" si="4"/>
        <v>0.1163463956065387</v>
      </c>
      <c r="L17" s="284">
        <f t="shared" si="4"/>
        <v>0.11702142902990453</v>
      </c>
      <c r="M17" s="284">
        <f t="shared" si="4"/>
        <v>0.11772624946243226</v>
      </c>
      <c r="N17" s="284">
        <f>N16/M16-1</f>
        <v>0.1179823738851955</v>
      </c>
      <c r="O17" s="284">
        <f>O16/N16-1</f>
        <v>1.3075517494724131E-2</v>
      </c>
      <c r="P17" s="284">
        <f t="shared" ref="P17:X17" si="5">P16/O16-1</f>
        <v>1.2641538026570087E-2</v>
      </c>
      <c r="Q17" s="284">
        <f t="shared" si="5"/>
        <v>1.2640721897812179E-2</v>
      </c>
      <c r="R17" s="284">
        <f t="shared" si="5"/>
        <v>1.2641546794546432E-2</v>
      </c>
      <c r="S17" s="284">
        <f t="shared" si="5"/>
        <v>1.2638630331548661E-2</v>
      </c>
      <c r="T17" s="284">
        <f t="shared" si="5"/>
        <v>1.2633611387618426E-2</v>
      </c>
      <c r="U17" s="284">
        <f t="shared" si="5"/>
        <v>1.263517242237544E-2</v>
      </c>
      <c r="V17" s="284">
        <f t="shared" si="5"/>
        <v>1.2634964791005787E-2</v>
      </c>
      <c r="W17" s="284">
        <f t="shared" si="5"/>
        <v>1.2627068959097931E-2</v>
      </c>
      <c r="X17" s="283">
        <f t="shared" si="5"/>
        <v>1.1781387646417008E-2</v>
      </c>
      <c r="Y17" s="288">
        <v>2.9000000000000001E-2</v>
      </c>
      <c r="Z17" s="288">
        <v>2.9000000000000001E-2</v>
      </c>
      <c r="AA17" s="288">
        <v>2.9000000000000001E-2</v>
      </c>
      <c r="AB17" s="288">
        <v>2.9000000000000001E-2</v>
      </c>
      <c r="AC17" s="288">
        <v>2.9000000000000001E-2</v>
      </c>
      <c r="AD17" s="288">
        <v>2.9000000000000001E-2</v>
      </c>
      <c r="AE17" s="288">
        <v>2.9000000000000001E-2</v>
      </c>
      <c r="AF17" s="288">
        <v>2.9000000000000001E-2</v>
      </c>
      <c r="AG17" s="288">
        <v>2.9000000000000001E-2</v>
      </c>
      <c r="AH17" s="372">
        <v>2.9000000000000001E-2</v>
      </c>
    </row>
    <row r="18" spans="1:37" s="20" customFormat="1">
      <c r="A18" s="20" t="s">
        <v>135</v>
      </c>
      <c r="B18" s="33"/>
      <c r="C18" s="332">
        <f>C32/C14</f>
        <v>6.3682528102291386E-2</v>
      </c>
      <c r="D18" s="332">
        <f t="shared" ref="D18:G18" si="6">($N$18-$C$18)/($N$11-$C$11)+C18</f>
        <v>6.4711186554282513E-2</v>
      </c>
      <c r="E18" s="332">
        <f t="shared" si="6"/>
        <v>6.5739845006273639E-2</v>
      </c>
      <c r="F18" s="332">
        <f t="shared" si="6"/>
        <v>6.6768503458264766E-2</v>
      </c>
      <c r="G18" s="332">
        <f t="shared" si="6"/>
        <v>6.7797161910255893E-2</v>
      </c>
      <c r="H18" s="284">
        <f>H32/H14</f>
        <v>7.4530020704321215E-2</v>
      </c>
      <c r="I18" s="172">
        <f>($N$18-$H$18)/($N$11-$H$11)+H18</f>
        <v>7.460797909929999E-2</v>
      </c>
      <c r="J18" s="172">
        <f t="shared" ref="J18:M18" si="7">($N$18-$H$18)/($N$11-$H$11)+I18</f>
        <v>7.4685937494278765E-2</v>
      </c>
      <c r="K18" s="172">
        <f t="shared" si="7"/>
        <v>7.4763895889257539E-2</v>
      </c>
      <c r="L18" s="172">
        <f t="shared" si="7"/>
        <v>7.4841854284236314E-2</v>
      </c>
      <c r="M18" s="172">
        <f t="shared" si="7"/>
        <v>7.4919812679215089E-2</v>
      </c>
      <c r="N18" s="180">
        <f>Inputs!C36</f>
        <v>7.4997771074193836E-2</v>
      </c>
      <c r="O18" s="91">
        <f t="shared" ref="O18:W18" si="8">($X$18-$N$18)/($X$11-$N$11)+N18</f>
        <v>7.4421705024354259E-2</v>
      </c>
      <c r="P18" s="91">
        <f t="shared" si="8"/>
        <v>7.3845638974514682E-2</v>
      </c>
      <c r="Q18" s="91">
        <f t="shared" si="8"/>
        <v>7.3269572924675105E-2</v>
      </c>
      <c r="R18" s="91">
        <f t="shared" si="8"/>
        <v>7.2693506874835528E-2</v>
      </c>
      <c r="S18" s="22">
        <f t="shared" si="8"/>
        <v>7.2117440824995951E-2</v>
      </c>
      <c r="T18" s="91">
        <f t="shared" si="8"/>
        <v>7.1541374775156374E-2</v>
      </c>
      <c r="U18" s="91">
        <f t="shared" si="8"/>
        <v>7.0965308725316797E-2</v>
      </c>
      <c r="V18" s="91">
        <f t="shared" si="8"/>
        <v>7.038924267547722E-2</v>
      </c>
      <c r="W18" s="91">
        <f t="shared" si="8"/>
        <v>6.9813176625637643E-2</v>
      </c>
      <c r="X18" s="185">
        <f>Inputs!F36</f>
        <v>6.9237110575798066E-2</v>
      </c>
      <c r="Y18" s="172">
        <f>($AH$18-$X$18)/($AH$11-$X$11)+X18</f>
        <v>6.892074114334959E-2</v>
      </c>
      <c r="Z18" s="172">
        <f t="shared" ref="Z18:AG18" si="9">($AH$18-$X$18)/($AH$11-$X$11)+Y18</f>
        <v>6.8604371710901113E-2</v>
      </c>
      <c r="AA18" s="172">
        <f t="shared" si="9"/>
        <v>6.8288002278452636E-2</v>
      </c>
      <c r="AB18" s="172">
        <f t="shared" si="9"/>
        <v>6.797163284600416E-2</v>
      </c>
      <c r="AC18" s="172">
        <f t="shared" si="9"/>
        <v>6.7655263413555683E-2</v>
      </c>
      <c r="AD18" s="172">
        <f t="shared" si="9"/>
        <v>6.7338893981107206E-2</v>
      </c>
      <c r="AE18" s="172">
        <f t="shared" si="9"/>
        <v>6.702252454865873E-2</v>
      </c>
      <c r="AF18" s="172">
        <f t="shared" si="9"/>
        <v>6.6706155116210253E-2</v>
      </c>
      <c r="AG18" s="172">
        <f t="shared" si="9"/>
        <v>6.6389785683761776E-2</v>
      </c>
      <c r="AH18" s="185">
        <f>Inputs!H36</f>
        <v>6.6073416251313286E-2</v>
      </c>
      <c r="AK18"/>
    </row>
    <row r="19" spans="1:37" s="281" customFormat="1">
      <c r="A19" s="281" t="s">
        <v>114</v>
      </c>
      <c r="B19" s="285"/>
      <c r="C19" s="330">
        <f t="shared" ref="C19:AH19" si="10">C16*C14</f>
        <v>5033.01</v>
      </c>
      <c r="D19" s="330">
        <f t="shared" si="10"/>
        <v>6606.0107238706332</v>
      </c>
      <c r="E19" s="330">
        <f t="shared" si="10"/>
        <v>7148.3225322675962</v>
      </c>
      <c r="F19" s="330">
        <f t="shared" si="10"/>
        <v>8243.2120457187048</v>
      </c>
      <c r="G19" s="330">
        <f t="shared" si="10"/>
        <v>9383.2118157111126</v>
      </c>
      <c r="H19" s="286">
        <f t="shared" si="10"/>
        <v>8176.3778605723974</v>
      </c>
      <c r="I19" s="286">
        <f t="shared" si="10"/>
        <v>8935.6540763865978</v>
      </c>
      <c r="J19" s="286">
        <f t="shared" si="10"/>
        <v>10182.783247306275</v>
      </c>
      <c r="K19" s="286">
        <f t="shared" si="10"/>
        <v>11497.265972859053</v>
      </c>
      <c r="L19" s="286">
        <f t="shared" si="10"/>
        <v>12952.135528029621</v>
      </c>
      <c r="M19" s="286">
        <f t="shared" si="10"/>
        <v>14570.843505881148</v>
      </c>
      <c r="N19" s="287">
        <f t="shared" si="10"/>
        <v>16370.052501766257</v>
      </c>
      <c r="O19" s="286">
        <f t="shared" si="10"/>
        <v>16865.39648908747</v>
      </c>
      <c r="P19" s="286">
        <f t="shared" si="10"/>
        <v>17297.455927238923</v>
      </c>
      <c r="Q19" s="286">
        <f t="shared" si="10"/>
        <v>17684.596880456251</v>
      </c>
      <c r="R19" s="286">
        <f t="shared" si="10"/>
        <v>17990.55314306806</v>
      </c>
      <c r="S19" s="286">
        <f t="shared" si="10"/>
        <v>18334.049352798829</v>
      </c>
      <c r="T19" s="286">
        <f t="shared" si="10"/>
        <v>18768.415158038624</v>
      </c>
      <c r="U19" s="286">
        <f t="shared" si="10"/>
        <v>19117.190454511176</v>
      </c>
      <c r="V19" s="286">
        <f t="shared" si="10"/>
        <v>19435.601631306956</v>
      </c>
      <c r="W19" s="286">
        <f t="shared" si="10"/>
        <v>19913.843440523662</v>
      </c>
      <c r="X19" s="287">
        <f>Inputs!C12*'Output -Jobs vs Yr'!X14</f>
        <v>20299.625762992244</v>
      </c>
      <c r="Y19" s="286">
        <f t="shared" si="10"/>
        <v>20682.442328271354</v>
      </c>
      <c r="Z19" s="286">
        <f t="shared" si="10"/>
        <v>21181.369420050018</v>
      </c>
      <c r="AA19" s="286">
        <f t="shared" si="10"/>
        <v>21616.310740990546</v>
      </c>
      <c r="AB19" s="286">
        <f t="shared" si="10"/>
        <v>22025.838896661837</v>
      </c>
      <c r="AC19" s="286">
        <f t="shared" si="10"/>
        <v>22468.980480149803</v>
      </c>
      <c r="AD19" s="286">
        <f t="shared" si="10"/>
        <v>22946.438770642086</v>
      </c>
      <c r="AE19" s="286">
        <f t="shared" si="10"/>
        <v>23482.484727976596</v>
      </c>
      <c r="AF19" s="286">
        <f t="shared" si="10"/>
        <v>23984.371805632076</v>
      </c>
      <c r="AG19" s="286">
        <f t="shared" si="10"/>
        <v>24636.566032644936</v>
      </c>
      <c r="AH19" s="287">
        <f t="shared" si="10"/>
        <v>25202.333542657696</v>
      </c>
    </row>
    <row r="20" spans="1:37" s="20" customFormat="1">
      <c r="A20" s="20" t="s">
        <v>211</v>
      </c>
      <c r="B20" s="33"/>
      <c r="C20" s="330">
        <f>'Output - Jobs vs Yr (BAU)'!C18</f>
        <v>5033.01</v>
      </c>
      <c r="D20" s="330">
        <f>'Output - Jobs vs Yr (BAU)'!D18</f>
        <v>6606.01</v>
      </c>
      <c r="E20" s="330">
        <f>'Output - Jobs vs Yr (BAU)'!E18</f>
        <v>6406.4952842070161</v>
      </c>
      <c r="F20" s="330">
        <f>'Output - Jobs vs Yr (BAU)'!F18</f>
        <v>7099.6188678429107</v>
      </c>
      <c r="G20" s="330">
        <f>'Output - Jobs vs Yr (BAU)'!G18</f>
        <v>8118.8583307690333</v>
      </c>
      <c r="H20" s="286">
        <f>'Output - Jobs vs Yr (BAU)'!H18</f>
        <v>8175.3778605723983</v>
      </c>
      <c r="I20" s="83">
        <f>'Output - Jobs vs Yr (BAU)'!I18</f>
        <v>8663.3769094502404</v>
      </c>
      <c r="J20" s="83">
        <f>'Output - Jobs vs Yr (BAU)'!J18</f>
        <v>8983.387414514571</v>
      </c>
      <c r="K20" s="83">
        <f>'Output - Jobs vs Yr (BAU)'!K18</f>
        <v>9160.9594885344304</v>
      </c>
      <c r="L20" s="83">
        <f>'Output - Jobs vs Yr (BAU)'!L18</f>
        <v>9407.0230794612962</v>
      </c>
      <c r="M20" s="83">
        <f>'Output - Jobs vs Yr (BAU)'!M18</f>
        <v>9725.7953157988741</v>
      </c>
      <c r="N20" s="177">
        <f>'Output - Jobs vs Yr (BAU)'!N18</f>
        <v>9808.8943088961223</v>
      </c>
      <c r="O20" s="83">
        <f>'Output - Jobs vs Yr (BAU)'!O18</f>
        <v>9867.6778403915378</v>
      </c>
      <c r="P20" s="83">
        <f>'Output - Jobs vs Yr (BAU)'!P18</f>
        <v>9871.891880193838</v>
      </c>
      <c r="Q20" s="83">
        <f>'Output - Jobs vs Yr (BAU)'!Q18</f>
        <v>9954.1224839905262</v>
      </c>
      <c r="R20" s="83">
        <f>'Output - Jobs vs Yr (BAU)'!R18</f>
        <v>10084.019229280793</v>
      </c>
      <c r="S20" s="83">
        <f>'Output - Jobs vs Yr (BAU)'!S18</f>
        <v>10021.50691698642</v>
      </c>
      <c r="T20" s="83">
        <f>'Output - Jobs vs Yr (BAU)'!T18</f>
        <v>10217.468249981262</v>
      </c>
      <c r="U20" s="83">
        <f>'Output - Jobs vs Yr (BAU)'!U18</f>
        <v>10280.428376166257</v>
      </c>
      <c r="V20" s="83">
        <f>'Output - Jobs vs Yr (BAU)'!V18</f>
        <v>10312.998434318524</v>
      </c>
      <c r="W20" s="83">
        <f>'Output - Jobs vs Yr (BAU)'!W18</f>
        <v>10302.5179901715</v>
      </c>
      <c r="X20" s="184">
        <f>'Output - Jobs vs Yr (BAU)'!X18</f>
        <v>10351.323635481769</v>
      </c>
      <c r="Y20" s="174">
        <f>'Output - Jobs vs Yr (BAU)'!Y18</f>
        <v>10460.924995401088</v>
      </c>
      <c r="Z20" s="174">
        <f>'Output - Jobs vs Yr (BAU)'!Z18</f>
        <v>10579.60516734074</v>
      </c>
      <c r="AA20" s="174">
        <f>'Output - Jobs vs Yr (BAU)'!AA18</f>
        <v>10695.421403926912</v>
      </c>
      <c r="AB20" s="174">
        <f>'Output - Jobs vs Yr (BAU)'!AB18</f>
        <v>10810.09277264087</v>
      </c>
      <c r="AC20" s="174">
        <f>'Output - Jobs vs Yr (BAU)'!AC18</f>
        <v>10862.006218281083</v>
      </c>
      <c r="AD20" s="174">
        <f>'Output - Jobs vs Yr (BAU)'!AD18</f>
        <v>11584.46216351783</v>
      </c>
      <c r="AE20" s="174">
        <f>'Output - Jobs vs Yr (BAU)'!AE18</f>
        <v>12365.166762852101</v>
      </c>
      <c r="AF20" s="174">
        <f>'Output - Jobs vs Yr (BAU)'!AF18</f>
        <v>12627.56192216805</v>
      </c>
      <c r="AG20" s="174">
        <f>'Output - Jobs vs Yr (BAU)'!AG18</f>
        <v>12785.184776974686</v>
      </c>
      <c r="AH20" s="184">
        <f>'Output - Jobs vs Yr (BAU)'!AH18</f>
        <v>13006.924897285564</v>
      </c>
    </row>
    <row r="21" spans="1:37" s="20" customFormat="1">
      <c r="A21" s="20" t="s">
        <v>116</v>
      </c>
      <c r="B21" s="33"/>
      <c r="C21" s="330">
        <f t="shared" ref="C21:AH21" si="11">MAX(C19:C20)</f>
        <v>5033.01</v>
      </c>
      <c r="D21" s="330">
        <f t="shared" si="11"/>
        <v>6606.0107238706332</v>
      </c>
      <c r="E21" s="330">
        <f t="shared" si="11"/>
        <v>7148.3225322675962</v>
      </c>
      <c r="F21" s="330">
        <f t="shared" si="11"/>
        <v>8243.2120457187048</v>
      </c>
      <c r="G21" s="330">
        <f t="shared" si="11"/>
        <v>9383.2118157111126</v>
      </c>
      <c r="H21" s="286">
        <f t="shared" si="11"/>
        <v>8176.3778605723974</v>
      </c>
      <c r="I21" s="83">
        <f t="shared" si="11"/>
        <v>8935.6540763865978</v>
      </c>
      <c r="J21" s="83">
        <f t="shared" si="11"/>
        <v>10182.783247306275</v>
      </c>
      <c r="K21" s="83">
        <f t="shared" si="11"/>
        <v>11497.265972859053</v>
      </c>
      <c r="L21" s="83">
        <f t="shared" si="11"/>
        <v>12952.135528029621</v>
      </c>
      <c r="M21" s="83">
        <f t="shared" si="11"/>
        <v>14570.843505881148</v>
      </c>
      <c r="N21" s="177">
        <f t="shared" si="11"/>
        <v>16370.052501766257</v>
      </c>
      <c r="O21" s="83">
        <f t="shared" si="11"/>
        <v>16865.39648908747</v>
      </c>
      <c r="P21" s="83">
        <f t="shared" si="11"/>
        <v>17297.455927238923</v>
      </c>
      <c r="Q21" s="83">
        <f t="shared" si="11"/>
        <v>17684.596880456251</v>
      </c>
      <c r="R21" s="83">
        <f t="shared" si="11"/>
        <v>17990.55314306806</v>
      </c>
      <c r="S21" s="83">
        <f t="shared" si="11"/>
        <v>18334.049352798829</v>
      </c>
      <c r="T21" s="83">
        <f t="shared" si="11"/>
        <v>18768.415158038624</v>
      </c>
      <c r="U21" s="83">
        <f t="shared" si="11"/>
        <v>19117.190454511176</v>
      </c>
      <c r="V21" s="83">
        <f t="shared" si="11"/>
        <v>19435.601631306956</v>
      </c>
      <c r="W21" s="83">
        <f t="shared" si="11"/>
        <v>19913.843440523662</v>
      </c>
      <c r="X21" s="184">
        <f t="shared" si="11"/>
        <v>20299.625762992244</v>
      </c>
      <c r="Y21" s="174">
        <f t="shared" si="11"/>
        <v>20682.442328271354</v>
      </c>
      <c r="Z21" s="174">
        <f t="shared" si="11"/>
        <v>21181.369420050018</v>
      </c>
      <c r="AA21" s="174">
        <f t="shared" si="11"/>
        <v>21616.310740990546</v>
      </c>
      <c r="AB21" s="174">
        <f t="shared" si="11"/>
        <v>22025.838896661837</v>
      </c>
      <c r="AC21" s="174">
        <f t="shared" si="11"/>
        <v>22468.980480149803</v>
      </c>
      <c r="AD21" s="174">
        <f t="shared" si="11"/>
        <v>22946.438770642086</v>
      </c>
      <c r="AE21" s="174">
        <f t="shared" si="11"/>
        <v>23482.484727976596</v>
      </c>
      <c r="AF21" s="174">
        <f t="shared" si="11"/>
        <v>23984.371805632076</v>
      </c>
      <c r="AG21" s="174">
        <f t="shared" si="11"/>
        <v>24636.566032644936</v>
      </c>
      <c r="AH21" s="184">
        <f t="shared" si="11"/>
        <v>25202.333542657696</v>
      </c>
      <c r="AI21" s="99"/>
    </row>
    <row r="22" spans="1:37" s="20" customFormat="1">
      <c r="A22" s="20" t="s">
        <v>379</v>
      </c>
      <c r="B22" s="33"/>
      <c r="C22" s="330" t="s">
        <v>0</v>
      </c>
      <c r="D22" s="330"/>
      <c r="E22" s="330"/>
      <c r="F22" s="330"/>
      <c r="G22" s="330"/>
      <c r="H22" s="286"/>
      <c r="I22" s="83"/>
      <c r="J22" s="83"/>
      <c r="K22" s="83"/>
      <c r="L22" s="83"/>
      <c r="M22" s="83"/>
      <c r="N22" s="177"/>
      <c r="O22" s="83"/>
      <c r="P22" s="83"/>
      <c r="Q22" s="83"/>
      <c r="R22" s="83"/>
      <c r="S22" s="83"/>
      <c r="T22" s="83"/>
      <c r="U22" s="83"/>
      <c r="V22" s="83"/>
      <c r="W22" s="173" t="s">
        <v>0</v>
      </c>
      <c r="X22" s="184"/>
      <c r="Y22"/>
      <c r="Z22"/>
      <c r="AA22"/>
      <c r="AB22"/>
      <c r="AC22"/>
      <c r="AD22"/>
      <c r="AE22"/>
      <c r="AF22"/>
      <c r="AG22"/>
      <c r="AH22" s="280"/>
      <c r="AI22" s="99"/>
    </row>
    <row r="23" spans="1:37" s="20" customFormat="1">
      <c r="A23" t="s">
        <v>538</v>
      </c>
      <c r="B23" s="33"/>
      <c r="C23" s="330">
        <v>0</v>
      </c>
      <c r="D23" s="332">
        <f t="shared" ref="D23:G23" si="12">C23+($N$23-$C$23)/($N$11-$C$11)</f>
        <v>0</v>
      </c>
      <c r="E23" s="332">
        <f t="shared" si="12"/>
        <v>0</v>
      </c>
      <c r="F23" s="332">
        <f t="shared" si="12"/>
        <v>0</v>
      </c>
      <c r="G23" s="332">
        <f t="shared" si="12"/>
        <v>0</v>
      </c>
      <c r="H23" s="286">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539</v>
      </c>
      <c r="B24" s="33"/>
      <c r="C24" s="330">
        <v>0</v>
      </c>
      <c r="D24" s="332">
        <f t="shared" ref="D24:G24" si="16">C24+($N$24-$C$24)/($N$11-$C$11)</f>
        <v>0</v>
      </c>
      <c r="E24" s="332">
        <f t="shared" si="16"/>
        <v>0</v>
      </c>
      <c r="F24" s="332">
        <f t="shared" si="16"/>
        <v>0</v>
      </c>
      <c r="G24" s="332">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540</v>
      </c>
      <c r="B25" s="33"/>
      <c r="C25" s="330"/>
      <c r="D25" s="332">
        <f t="shared" ref="D25:AH25" si="20">D30/(D30+D47)</f>
        <v>0</v>
      </c>
      <c r="E25" s="332">
        <f t="shared" si="20"/>
        <v>0</v>
      </c>
      <c r="F25" s="332">
        <f t="shared" si="20"/>
        <v>0</v>
      </c>
      <c r="G25" s="332">
        <f t="shared" si="20"/>
        <v>0</v>
      </c>
      <c r="H25" s="284"/>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382</v>
      </c>
      <c r="B26" s="33"/>
      <c r="C26" s="332">
        <f>C31/C14</f>
        <v>0.70011413706046677</v>
      </c>
      <c r="D26" s="332">
        <f t="shared" ref="D26:G26" si="21">C26+($N$26-$C$26)/($N$11-$C$11)</f>
        <v>0.69764141011893976</v>
      </c>
      <c r="E26" s="332">
        <f t="shared" si="21"/>
        <v>0.69516868317741276</v>
      </c>
      <c r="F26" s="332">
        <f t="shared" si="21"/>
        <v>0.69269595623588576</v>
      </c>
      <c r="G26" s="332">
        <f t="shared" si="21"/>
        <v>0.69022322929435875</v>
      </c>
      <c r="H26" s="284">
        <f>H31/H14</f>
        <v>0.66658965896122035</v>
      </c>
      <c r="I26" s="91">
        <f>H26+($N$26-$H$26)/($N$11-$H$11)</f>
        <v>0.66764373925162857</v>
      </c>
      <c r="J26" s="172">
        <f t="shared" ref="J26:M26" si="22">I26+($N$26-$H$26)/($N$11-$H$11)</f>
        <v>0.66869781954203678</v>
      </c>
      <c r="K26" s="172">
        <f t="shared" si="22"/>
        <v>0.66975189983244499</v>
      </c>
      <c r="L26" s="172">
        <f t="shared" si="22"/>
        <v>0.6708059801228532</v>
      </c>
      <c r="M26" s="172">
        <f t="shared" si="22"/>
        <v>0.67186006041326141</v>
      </c>
      <c r="N26" s="180">
        <f>Inputs!C35</f>
        <v>0.67291414070366984</v>
      </c>
      <c r="O26" s="91">
        <f t="shared" ref="O26:W26" si="23">N26+($X$26-$N$26)/($X$11-$N$11)</f>
        <v>0.66774541388200381</v>
      </c>
      <c r="P26" s="91">
        <f t="shared" si="23"/>
        <v>0.66257668706033779</v>
      </c>
      <c r="Q26" s="91">
        <f t="shared" si="23"/>
        <v>0.65740796023867176</v>
      </c>
      <c r="R26" s="91">
        <f t="shared" si="23"/>
        <v>0.65223923341700574</v>
      </c>
      <c r="S26" s="22">
        <f t="shared" si="23"/>
        <v>0.64707050659533971</v>
      </c>
      <c r="T26" s="91">
        <f t="shared" si="23"/>
        <v>0.64190177977367369</v>
      </c>
      <c r="U26" s="91">
        <f t="shared" si="23"/>
        <v>0.63673305295200766</v>
      </c>
      <c r="V26" s="91">
        <f t="shared" si="23"/>
        <v>0.63156432613034164</v>
      </c>
      <c r="W26" s="91">
        <f t="shared" si="23"/>
        <v>0.62639559930867561</v>
      </c>
      <c r="X26" s="185">
        <f>Inputs!F35</f>
        <v>0.62122687248700925</v>
      </c>
      <c r="Y26" s="172">
        <f>X26+($AH$26-$X$26)/($AH$11-$X$11)</f>
        <v>0.61838826192923191</v>
      </c>
      <c r="Z26" s="172">
        <f t="shared" ref="Z26:AG26" si="24">Y26+($AH$26-$X$26)/($AH$11-$X$11)</f>
        <v>0.61554965137145456</v>
      </c>
      <c r="AA26" s="172">
        <f t="shared" si="24"/>
        <v>0.61271104081367722</v>
      </c>
      <c r="AB26" s="172">
        <f t="shared" si="24"/>
        <v>0.60987243025589988</v>
      </c>
      <c r="AC26" s="172">
        <f t="shared" si="24"/>
        <v>0.60703381969812253</v>
      </c>
      <c r="AD26" s="172">
        <f t="shared" si="24"/>
        <v>0.60419520914034519</v>
      </c>
      <c r="AE26" s="172">
        <f t="shared" si="24"/>
        <v>0.60135659858256785</v>
      </c>
      <c r="AF26" s="172">
        <f t="shared" si="24"/>
        <v>0.5985179880247905</v>
      </c>
      <c r="AG26" s="172">
        <f t="shared" si="24"/>
        <v>0.59567937746701316</v>
      </c>
      <c r="AH26" s="185">
        <f>Inputs!H35</f>
        <v>0.59284076690923582</v>
      </c>
      <c r="AI26" s="99"/>
    </row>
    <row r="27" spans="1:37" s="1" customFormat="1">
      <c r="B27" s="33"/>
      <c r="C27" s="338"/>
      <c r="D27" s="329"/>
      <c r="E27" s="392"/>
      <c r="F27" s="392"/>
      <c r="G27" s="392"/>
      <c r="H27" s="401"/>
      <c r="I27" s="25"/>
      <c r="J27" s="25"/>
      <c r="K27" s="24"/>
      <c r="L27" s="24"/>
      <c r="M27" s="24"/>
      <c r="N27" s="181" t="s">
        <v>0</v>
      </c>
      <c r="O27" s="26"/>
      <c r="P27" s="13"/>
      <c r="Q27" s="13"/>
      <c r="R27" s="13"/>
      <c r="S27" s="169">
        <f>SUM(S18,S24,S26)</f>
        <v>0.71918794742033565</v>
      </c>
      <c r="T27" s="13"/>
      <c r="U27" s="13"/>
      <c r="V27" s="13"/>
      <c r="W27" s="13"/>
      <c r="X27" s="176"/>
      <c r="Y27"/>
      <c r="Z27"/>
      <c r="AA27"/>
      <c r="AB27"/>
      <c r="AC27"/>
      <c r="AD27"/>
      <c r="AE27"/>
      <c r="AF27"/>
      <c r="AG27"/>
      <c r="AH27" s="280"/>
      <c r="AI27" s="24"/>
    </row>
    <row r="28" spans="1:37" s="1" customFormat="1">
      <c r="A28" s="1" t="s">
        <v>378</v>
      </c>
      <c r="B28" s="33"/>
      <c r="C28" s="328">
        <v>2009</v>
      </c>
      <c r="D28" s="328">
        <v>2010</v>
      </c>
      <c r="E28" s="328">
        <v>2011</v>
      </c>
      <c r="F28" s="328">
        <v>2012</v>
      </c>
      <c r="G28" s="328">
        <v>2013</v>
      </c>
      <c r="H28" s="400">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330" t="s">
        <v>377</v>
      </c>
      <c r="D29" s="330">
        <f t="shared" ref="D29:AH29" si="25">D13-D14</f>
        <v>0</v>
      </c>
      <c r="E29" s="330">
        <f t="shared" si="25"/>
        <v>0</v>
      </c>
      <c r="F29" s="330">
        <f t="shared" si="25"/>
        <v>0</v>
      </c>
      <c r="G29" s="330">
        <f t="shared" si="25"/>
        <v>0</v>
      </c>
      <c r="H29" s="286">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330">
        <f>C23*C47</f>
        <v>0</v>
      </c>
      <c r="D30" s="330">
        <f t="shared" ref="D30:AH30" si="26">D24*D14</f>
        <v>0</v>
      </c>
      <c r="E30" s="330">
        <f t="shared" si="26"/>
        <v>0</v>
      </c>
      <c r="F30" s="330">
        <f t="shared" si="26"/>
        <v>0</v>
      </c>
      <c r="G30" s="330">
        <f t="shared" si="26"/>
        <v>0</v>
      </c>
      <c r="H30" s="286">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330">
        <f>'Output - Jobs vs Yr (BAU)'!C7</f>
        <v>72932.990000000005</v>
      </c>
      <c r="D31" s="330">
        <f t="shared" ref="D31:AH31" si="27">D26*D14</f>
        <v>71944.96805992577</v>
      </c>
      <c r="E31" s="330">
        <f t="shared" si="27"/>
        <v>80509.397245914079</v>
      </c>
      <c r="F31" s="330">
        <f t="shared" si="27"/>
        <v>81376.673001145697</v>
      </c>
      <c r="G31" s="330">
        <f t="shared" si="27"/>
        <v>71863.381557182525</v>
      </c>
      <c r="H31" s="286">
        <f>'Output - Jobs vs Yr (BAU)'!H7</f>
        <v>70439.904050000012</v>
      </c>
      <c r="I31" s="174">
        <f t="shared" si="27"/>
        <v>69090.448019813863</v>
      </c>
      <c r="J31" s="174">
        <f t="shared" si="27"/>
        <v>70735.272913314679</v>
      </c>
      <c r="K31" s="174">
        <f t="shared" si="27"/>
        <v>71655.442947144722</v>
      </c>
      <c r="L31" s="174">
        <f t="shared" si="27"/>
        <v>72379.812464680363</v>
      </c>
      <c r="M31" s="174">
        <f t="shared" si="27"/>
        <v>72963.761641782272</v>
      </c>
      <c r="N31" s="184">
        <f t="shared" si="27"/>
        <v>73437.598750000005</v>
      </c>
      <c r="O31" s="174">
        <f t="shared" si="27"/>
        <v>74109.586530722809</v>
      </c>
      <c r="P31" s="174">
        <f t="shared" si="27"/>
        <v>74478.267681216676</v>
      </c>
      <c r="Q31" s="174">
        <f t="shared" si="27"/>
        <v>74608.08930360798</v>
      </c>
      <c r="R31" s="174">
        <f t="shared" si="27"/>
        <v>74362.073085295313</v>
      </c>
      <c r="S31" s="174">
        <f t="shared" si="27"/>
        <v>74243.008739626894</v>
      </c>
      <c r="T31" s="174">
        <f t="shared" si="27"/>
        <v>74454.234920440445</v>
      </c>
      <c r="U31" s="174">
        <f t="shared" si="27"/>
        <v>74288.5150964762</v>
      </c>
      <c r="V31" s="174">
        <f t="shared" si="27"/>
        <v>73978.04956039325</v>
      </c>
      <c r="W31" s="174">
        <f t="shared" si="27"/>
        <v>74240.613323469879</v>
      </c>
      <c r="X31" s="184">
        <f t="shared" si="27"/>
        <v>74180.429561178767</v>
      </c>
      <c r="Y31" s="174">
        <f t="shared" si="27"/>
        <v>73956.759642884601</v>
      </c>
      <c r="Z31" s="174">
        <f t="shared" si="27"/>
        <v>74175.792031875928</v>
      </c>
      <c r="AA31" s="174">
        <f t="shared" si="27"/>
        <v>74133.064582350518</v>
      </c>
      <c r="AB31" s="174">
        <f t="shared" si="27"/>
        <v>73973.427754535864</v>
      </c>
      <c r="AC31" s="174">
        <f t="shared" si="27"/>
        <v>73897.75704151229</v>
      </c>
      <c r="AD31" s="174">
        <f t="shared" si="27"/>
        <v>73902.542164152444</v>
      </c>
      <c r="AE31" s="174">
        <f t="shared" si="27"/>
        <v>74058.730921919458</v>
      </c>
      <c r="AF31" s="174">
        <f t="shared" si="27"/>
        <v>74069.387843195247</v>
      </c>
      <c r="AG31" s="174">
        <f t="shared" si="27"/>
        <v>74501.013636596777</v>
      </c>
      <c r="AH31" s="184">
        <f t="shared" si="27"/>
        <v>74704.853726657719</v>
      </c>
      <c r="AI31" s="127"/>
    </row>
    <row r="32" spans="1:37">
      <c r="A32" s="9" t="s">
        <v>59</v>
      </c>
      <c r="B32" s="35">
        <v>0</v>
      </c>
      <c r="C32" s="330">
        <f>EIA_electricity_aeo2014!E52*1000</f>
        <v>6634</v>
      </c>
      <c r="D32" s="330">
        <f t="shared" ref="D32:AH32" si="28">D18*D14</f>
        <v>6673.4058245969372</v>
      </c>
      <c r="E32" s="330">
        <f t="shared" si="28"/>
        <v>7613.5122662655549</v>
      </c>
      <c r="F32" s="330">
        <f t="shared" si="28"/>
        <v>7843.8434984148034</v>
      </c>
      <c r="G32" s="330">
        <f t="shared" si="28"/>
        <v>7058.779113869823</v>
      </c>
      <c r="H32" s="286">
        <f>EIA_electricity_aeo2014!J52*1000</f>
        <v>7875.741</v>
      </c>
      <c r="I32" s="174">
        <f t="shared" si="28"/>
        <v>7720.732478674212</v>
      </c>
      <c r="J32" s="174">
        <f t="shared" si="28"/>
        <v>7900.3251050865219</v>
      </c>
      <c r="K32" s="174">
        <f t="shared" si="28"/>
        <v>7998.842672546667</v>
      </c>
      <c r="L32" s="174">
        <f t="shared" si="28"/>
        <v>8075.4190304175099</v>
      </c>
      <c r="M32" s="174">
        <f t="shared" si="28"/>
        <v>8136.2647918240928</v>
      </c>
      <c r="N32" s="184">
        <f t="shared" si="28"/>
        <v>8184.7829999999985</v>
      </c>
      <c r="O32" s="174">
        <f t="shared" si="28"/>
        <v>8259.6775262030042</v>
      </c>
      <c r="P32" s="174">
        <f t="shared" si="28"/>
        <v>8300.7678568285355</v>
      </c>
      <c r="Q32" s="174">
        <f t="shared" si="28"/>
        <v>8315.2367641194451</v>
      </c>
      <c r="R32" s="174">
        <f t="shared" si="28"/>
        <v>8287.8177118132189</v>
      </c>
      <c r="S32" s="174">
        <f t="shared" si="28"/>
        <v>8274.5477268338564</v>
      </c>
      <c r="T32" s="174">
        <f t="shared" si="28"/>
        <v>8298.0893524221756</v>
      </c>
      <c r="U32" s="174">
        <f t="shared" si="28"/>
        <v>8279.6195110734243</v>
      </c>
      <c r="V32" s="174">
        <f t="shared" si="28"/>
        <v>8245.0174395859285</v>
      </c>
      <c r="W32" s="174">
        <f t="shared" si="28"/>
        <v>8274.280752398774</v>
      </c>
      <c r="X32" s="184">
        <f t="shared" si="28"/>
        <v>8267.5731388212535</v>
      </c>
      <c r="Y32" s="174">
        <f t="shared" si="28"/>
        <v>8242.6446311354612</v>
      </c>
      <c r="Z32" s="174">
        <f t="shared" si="28"/>
        <v>8267.0562759111654</v>
      </c>
      <c r="AA32" s="174">
        <f t="shared" si="28"/>
        <v>8262.2942070464214</v>
      </c>
      <c r="AB32" s="174">
        <f t="shared" si="28"/>
        <v>8244.5023290886566</v>
      </c>
      <c r="AC32" s="174">
        <f t="shared" si="28"/>
        <v>8236.0686605578849</v>
      </c>
      <c r="AD32" s="174">
        <f t="shared" si="28"/>
        <v>8236.6019730722473</v>
      </c>
      <c r="AE32" s="174">
        <f t="shared" si="28"/>
        <v>8254.0095559878391</v>
      </c>
      <c r="AF32" s="174">
        <f t="shared" si="28"/>
        <v>8255.197293462581</v>
      </c>
      <c r="AG32" s="174">
        <f t="shared" si="28"/>
        <v>8303.3029439240127</v>
      </c>
      <c r="AH32" s="184">
        <f t="shared" si="28"/>
        <v>8326.0213733422843</v>
      </c>
      <c r="AI32" s="128"/>
    </row>
    <row r="33" spans="1:36">
      <c r="A33" s="9"/>
      <c r="B33" s="35"/>
      <c r="C33" s="330"/>
      <c r="D33" s="330"/>
      <c r="E33" s="330"/>
      <c r="F33" s="330"/>
      <c r="G33" s="330"/>
      <c r="H33" s="286"/>
      <c r="I33" s="118"/>
      <c r="J33" s="118"/>
      <c r="K33" s="118"/>
      <c r="L33" s="118"/>
      <c r="M33" s="118"/>
      <c r="N33" s="184"/>
      <c r="O33" s="118"/>
      <c r="P33" s="118"/>
      <c r="Q33" s="118"/>
      <c r="R33" s="118"/>
      <c r="S33" s="118"/>
      <c r="T33" s="118"/>
      <c r="U33" s="118"/>
      <c r="V33" s="118"/>
      <c r="W33" s="118"/>
      <c r="X33" s="184"/>
      <c r="AI33" s="128"/>
    </row>
    <row r="34" spans="1:36">
      <c r="A34" s="9" t="s">
        <v>121</v>
      </c>
      <c r="B34" s="35">
        <v>1</v>
      </c>
      <c r="C34" s="330">
        <f>EIA_RE_aeo2014!E76*1000</f>
        <v>1305</v>
      </c>
      <c r="D34" s="330">
        <f>MAX(D58*D$14,'Output - Jobs vs Yr (BAU)'!D10)</f>
        <v>1676</v>
      </c>
      <c r="E34" s="330">
        <f>MAX(E58*E$14,'Output - Jobs vs Yr (BAU)'!E10)</f>
        <v>2003.9621076732228</v>
      </c>
      <c r="F34" s="330">
        <f>MAX(F58*F$14,'Output - Jobs vs Yr (BAU)'!F10)</f>
        <v>2389.0723483885918</v>
      </c>
      <c r="G34" s="330">
        <f>MAX(G58*G$14,'Output - Jobs vs Yr (BAU)'!G10)</f>
        <v>2488.4504430653442</v>
      </c>
      <c r="H34" s="286">
        <f>'Output - Jobs vs Yr (BAU)'!H10</f>
        <v>1308.1263927700954</v>
      </c>
      <c r="I34" s="286">
        <f>MAX(I58*I$14,'Output - Jobs vs Yr (BAU)'!I10)</f>
        <v>1505.5724076956296</v>
      </c>
      <c r="J34" s="286">
        <f>MAX(J58*J$14,'Output - Jobs vs Yr (BAU)'!J10)</f>
        <v>1808.7287413598506</v>
      </c>
      <c r="K34" s="286">
        <f>MAX(K58*K$14,'Output - Jobs vs Yr (BAU)'!K10)</f>
        <v>2150.0147461841016</v>
      </c>
      <c r="L34" s="286">
        <f>MAX(L58*L$14,'Output - Jobs vs Yr (BAU)'!L10)</f>
        <v>2548.3884624985508</v>
      </c>
      <c r="M34" s="286">
        <f>MAX(M58*M$14,'Output - Jobs vs Yr (BAU)'!M10)</f>
        <v>3014.4798695817972</v>
      </c>
      <c r="N34" s="287">
        <f>MAX(Inputs!$E17*N$21,'Output - Jobs vs Yr (BAU)'!N10)</f>
        <v>3560.2599141244546</v>
      </c>
      <c r="O34" s="286">
        <f>MAX(O58*O$14,'Output - Jobs vs Yr (BAU)'!O10)</f>
        <v>3666.2504882085705</v>
      </c>
      <c r="P34" s="286">
        <f>MAX(P58*P$14,'Output - Jobs vs Yr (BAU)'!P10)</f>
        <v>3759.9999516321022</v>
      </c>
      <c r="Q34" s="286">
        <f>MAX(Q58*Q$14,'Output - Jobs vs Yr (BAU)'!Q10)</f>
        <v>3843.9802660992136</v>
      </c>
      <c r="R34" s="286">
        <f>MAX(R58*R$14,'Output - Jobs vs Yr (BAU)'!R10)</f>
        <v>3910.3040336754566</v>
      </c>
      <c r="S34" s="286">
        <f>MAX(S58*S$14,'Output - Jobs vs Yr (BAU)'!S10)</f>
        <v>3984.7922203268095</v>
      </c>
      <c r="T34" s="286">
        <f>MAX(T58*T$14,'Output - Jobs vs Yr (BAU)'!T10)</f>
        <v>4079.0432866798983</v>
      </c>
      <c r="U34" s="286">
        <f>MAX(U58*U$14,'Output - Jobs vs Yr (BAU)'!U10)</f>
        <v>4154.6796016532535</v>
      </c>
      <c r="V34" s="286">
        <f>MAX(V58*V$14,'Output - Jobs vs Yr (BAU)'!V10)</f>
        <v>4223.7120929545608</v>
      </c>
      <c r="W34" s="286">
        <f>MAX(W58*W$14,'Output - Jobs vs Yr (BAU)'!W10)</f>
        <v>4327.5056189234883</v>
      </c>
      <c r="X34" s="287">
        <f>Inputs!F17*'Output -Jobs vs Yr'!$X$14</f>
        <v>4414.8877267138578</v>
      </c>
      <c r="Y34" s="286">
        <f>MAX(Y58*Y$14,'Output - Jobs vs Yr (BAU)'!Y10)</f>
        <v>4494.2300401747025</v>
      </c>
      <c r="Z34" s="286">
        <f>MAX(Z58*Z$14,'Output - Jobs vs Yr (BAU)'!Z10)</f>
        <v>4602.5219784373749</v>
      </c>
      <c r="AA34" s="286">
        <f>MAX(AA58*AA$14,'Output - Jobs vs Yr (BAU)'!AA10)</f>
        <v>4696.8979401246479</v>
      </c>
      <c r="AB34" s="286">
        <f>MAX(AB58*AB$14,'Output - Jobs vs Yr (BAU)'!AB10)</f>
        <v>4785.7468862902442</v>
      </c>
      <c r="AC34" s="286">
        <f>MAX(AC58*AC$14,'Output - Jobs vs Yr (BAU)'!AC10)</f>
        <v>4881.9065282678466</v>
      </c>
      <c r="AD34" s="286">
        <f>MAX(AD58*AD$14,'Output - Jobs vs Yr (BAU)'!AD10)</f>
        <v>4985.5295961769698</v>
      </c>
      <c r="AE34" s="286">
        <f>MAX(AE58*AE$14,'Output - Jobs vs Yr (BAU)'!AE10)</f>
        <v>5101.8946961914144</v>
      </c>
      <c r="AF34" s="286">
        <f>MAX(AF58*AF$14,'Output - Jobs vs Yr (BAU)'!AF10)</f>
        <v>5210.8306745777963</v>
      </c>
      <c r="AG34" s="286">
        <f>MAX(AG58*AG$14,'Output - Jobs vs Yr (BAU)'!AG10)</f>
        <v>5352.4563849997176</v>
      </c>
      <c r="AH34" s="287">
        <f>Inputs!I17*'Output -Jobs vs Yr'!$AH$14</f>
        <v>5481.1588322418147</v>
      </c>
      <c r="AI34" s="127"/>
    </row>
    <row r="35" spans="1:36" s="20" customFormat="1">
      <c r="A35" s="9" t="s">
        <v>50</v>
      </c>
      <c r="B35" s="35">
        <v>1</v>
      </c>
      <c r="C35" s="330">
        <f>EIA_RE_aeo2014!E74*1000</f>
        <v>0</v>
      </c>
      <c r="D35" s="330">
        <f>MAX(D59*D$14,'Output - Jobs vs Yr (BAU)'!D11)</f>
        <v>0</v>
      </c>
      <c r="E35" s="330">
        <f>MAX(E59*E$14,'Output - Jobs vs Yr (BAU)'!E11)</f>
        <v>1.954E-3</v>
      </c>
      <c r="F35" s="330">
        <f>MAX(F59*F$14,'Output - Jobs vs Yr (BAU)'!F11)</f>
        <v>2.032E-3</v>
      </c>
      <c r="G35" s="330">
        <f>MAX(G59*G$14,'Output - Jobs vs Yr (BAU)'!G11)</f>
        <v>2.4136749999999997E-3</v>
      </c>
      <c r="H35" s="286">
        <f>'Output - Jobs vs Yr (BAU)'!H11</f>
        <v>2.6329220000000002E-3</v>
      </c>
      <c r="I35" s="286">
        <f>MAX(I59*I$14,'Output - Jobs vs Yr (BAU)'!I11)</f>
        <v>3.1637595414198932E-3</v>
      </c>
      <c r="J35" s="286">
        <f>MAX(J59*J$14,'Output - Jobs vs Yr (BAU)'!J11)</f>
        <v>3.9681565410952073E-3</v>
      </c>
      <c r="K35" s="286">
        <f>MAX(K59*K$14,'Output - Jobs vs Yr (BAU)'!K11)</f>
        <v>4.9245928591386675E-3</v>
      </c>
      <c r="L35" s="286">
        <f>MAX(L59*L$14,'Output - Jobs vs Yr (BAU)'!L11)</f>
        <v>6.0940786977737426E-3</v>
      </c>
      <c r="M35" s="286">
        <f>MAX(M59*M$14,'Output - Jobs vs Yr (BAU)'!M11)</f>
        <v>7.526071706573453E-3</v>
      </c>
      <c r="N35" s="287">
        <f>MAX(Inputs!$E19*N$21,'Output - Jobs vs Yr (BAU)'!N11)</f>
        <v>9.2800689715302389E-3</v>
      </c>
      <c r="O35" s="286">
        <f>MAX(O59*O$14,'Output - Jobs vs Yr (BAU)'!O11)</f>
        <v>9.556340890310799E-3</v>
      </c>
      <c r="P35" s="286">
        <f>MAX(P59*P$14,'Output - Jobs vs Yr (BAU)'!P11)</f>
        <v>9.8007054894129059E-3</v>
      </c>
      <c r="Q35" s="286">
        <f>MAX(Q59*Q$14,'Output - Jobs vs Yr (BAU)'!Q11)</f>
        <v>1.0019606111643813E-2</v>
      </c>
      <c r="R35" s="286">
        <f>MAX(R59*R$14,'Output - Jobs vs Yr (BAU)'!R11)</f>
        <v>1.0192483697102522E-2</v>
      </c>
      <c r="S35" s="286">
        <f>MAX(S59*S$14,'Output - Jobs vs Yr (BAU)'!S11)</f>
        <v>1.0386642417634805E-2</v>
      </c>
      <c r="T35" s="286">
        <f>MAX(T59*T$14,'Output - Jobs vs Yr (BAU)'!T11)</f>
        <v>1.0632314480207244E-2</v>
      </c>
      <c r="U35" s="286">
        <f>MAX(U59*U$14,'Output - Jobs vs Yr (BAU)'!U11)</f>
        <v>1.0829465878317384E-2</v>
      </c>
      <c r="V35" s="286">
        <f>MAX(V59*V$14,'Output - Jobs vs Yr (BAU)'!V11)</f>
        <v>1.1229082E-2</v>
      </c>
      <c r="W35" s="286">
        <f>MAX(W59*W$14,'Output - Jobs vs Yr (BAU)'!W11)</f>
        <v>1.1334820000000001E-2</v>
      </c>
      <c r="X35" s="287">
        <f>Inputs!F19*'Output -Jobs vs Yr'!$X$14</f>
        <v>1.1507716738018682E-2</v>
      </c>
      <c r="Y35" s="286">
        <f>MAX(Y59*Y$14,'Output - Jobs vs Yr (BAU)'!Y11)</f>
        <v>1.2825796999999998E-2</v>
      </c>
      <c r="Z35" s="286">
        <f>MAX(Z59*Z$14,'Output - Jobs vs Yr (BAU)'!Z11)</f>
        <v>1.4554629999999999E-2</v>
      </c>
      <c r="AA35" s="286">
        <f>MAX(AA59*AA$14,'Output - Jobs vs Yr (BAU)'!AA11)</f>
        <v>1.6048374000000001E-2</v>
      </c>
      <c r="AB35" s="286">
        <f>MAX(AB59*AB$14,'Output - Jobs vs Yr (BAU)'!AB11)</f>
        <v>1.7544751999999997E-2</v>
      </c>
      <c r="AC35" s="286">
        <f>MAX(AC59*AC$14,'Output - Jobs vs Yr (BAU)'!AC11)</f>
        <v>1.7955031999999999E-2</v>
      </c>
      <c r="AD35" s="286">
        <f>MAX(AD59*AD$14,'Output - Jobs vs Yr (BAU)'!AD11)</f>
        <v>1.8306678999999999E-2</v>
      </c>
      <c r="AE35" s="286">
        <f>MAX(AE59*AE$14,'Output - Jobs vs Yr (BAU)'!AE11)</f>
        <v>1.8575586000000002E-2</v>
      </c>
      <c r="AF35" s="286">
        <f>MAX(AF59*AF$14,'Output - Jobs vs Yr (BAU)'!AF11)</f>
        <v>1.8999570999999996E-2</v>
      </c>
      <c r="AG35" s="286">
        <f>MAX(AG59*AG$14,'Output - Jobs vs Yr (BAU)'!AG11)</f>
        <v>1.9477578999999998E-2</v>
      </c>
      <c r="AH35" s="287">
        <f>Inputs!I19*'Output -Jobs vs Yr'!$AH$14</f>
        <v>1.4287027698545186E-2</v>
      </c>
      <c r="AI35" s="127"/>
    </row>
    <row r="36" spans="1:36">
      <c r="A36" s="9" t="s">
        <v>119</v>
      </c>
      <c r="B36" s="35">
        <v>1</v>
      </c>
      <c r="C36" s="330">
        <v>0</v>
      </c>
      <c r="D36" s="330">
        <v>0</v>
      </c>
      <c r="E36" s="330">
        <v>0</v>
      </c>
      <c r="F36" s="330">
        <v>0</v>
      </c>
      <c r="G36" s="330">
        <v>0</v>
      </c>
      <c r="H36" s="286">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330">
        <f>EIA_RE_aeo2014!E75*1000</f>
        <v>156</v>
      </c>
      <c r="D37" s="330">
        <f>MAX(D61*D$14,'Output - Jobs vs Yr (BAU)'!D12)</f>
        <v>185</v>
      </c>
      <c r="E37" s="330">
        <f>MAX(E61*E$14,'Output - Jobs vs Yr (BAU)'!E12)</f>
        <v>319.38048076328266</v>
      </c>
      <c r="F37" s="330">
        <f>MAX(F61*F$14,'Output - Jobs vs Yr (BAU)'!F12)</f>
        <v>374.8313296665404</v>
      </c>
      <c r="G37" s="330">
        <f>MAX(G61*G$14,'Output - Jobs vs Yr (BAU)'!G12)</f>
        <v>447.23619584225065</v>
      </c>
      <c r="H37" s="286">
        <f>'Output - Jobs vs Yr (BAU)'!H12</f>
        <v>399.73583488030289</v>
      </c>
      <c r="I37" s="118">
        <f>MAX(I61*I$14,'Output - Jobs vs Yr (BAU)'!I12)</f>
        <v>446.72367158920036</v>
      </c>
      <c r="J37" s="118">
        <f>MAX(J61*J$14,'Output - Jobs vs Yr (BAU)'!J12)</f>
        <v>504.90516401791643</v>
      </c>
      <c r="K37" s="118">
        <f>MAX(K61*K$14,'Output - Jobs vs Yr (BAU)'!K12)</f>
        <v>573.63324155827024</v>
      </c>
      <c r="L37" s="118">
        <f>MAX(L61*L$14,'Output - Jobs vs Yr (BAU)'!L12)</f>
        <v>649.85280966024084</v>
      </c>
      <c r="M37" s="118">
        <f>MAX(M61*M$14,'Output - Jobs vs Yr (BAU)'!M12)</f>
        <v>734.71390247100737</v>
      </c>
      <c r="N37" s="184">
        <f>MAX(Inputs!$E20*N$21,'Output - Jobs vs Yr (BAU)'!N12)</f>
        <v>829.36188610680165</v>
      </c>
      <c r="O37" s="174">
        <f>MAX(O61*O$14,'Output - Jobs vs Yr (BAU)'!O12)</f>
        <v>854.05237066474183</v>
      </c>
      <c r="P37" s="174">
        <f>MAX(P61*P$14,'Output - Jobs vs Yr (BAU)'!P12)</f>
        <v>875.89129076660799</v>
      </c>
      <c r="Q37" s="174">
        <f>MAX(Q61*Q$14,'Output - Jobs vs Yr (BAU)'!Q12)</f>
        <v>895.45448943251631</v>
      </c>
      <c r="R37" s="174">
        <f>MAX(R61*R$14,'Output - Jobs vs Yr (BAU)'!R12)</f>
        <v>910.90459877776868</v>
      </c>
      <c r="S37" s="174">
        <f>MAX(S61*S$14,'Output - Jobs vs Yr (BAU)'!S12)</f>
        <v>928.25660803101289</v>
      </c>
      <c r="T37" s="174">
        <f>MAX(T61*T$14,'Output - Jobs vs Yr (BAU)'!T12)</f>
        <v>950.21237644220707</v>
      </c>
      <c r="U37" s="174">
        <f>MAX(U61*U$14,'Output - Jobs vs Yr (BAU)'!U12)</f>
        <v>967.8318419749354</v>
      </c>
      <c r="V37" s="174">
        <f>MAX(V61*V$14,'Output - Jobs vs Yr (BAU)'!V12)</f>
        <v>983.91294800912317</v>
      </c>
      <c r="W37" s="174">
        <f>MAX(W61*W$14,'Output - Jobs vs Yr (BAU)'!W12)</f>
        <v>1008.0916306164672</v>
      </c>
      <c r="X37" s="184">
        <f>Inputs!F20*'Output -Jobs vs Yr'!$X$14</f>
        <v>1028.4472764055561</v>
      </c>
      <c r="Y37" s="174">
        <f>MAX(Y61*Y$14,'Output - Jobs vs Yr (BAU)'!Y12)</f>
        <v>1046.9300535980033</v>
      </c>
      <c r="Z37" s="174">
        <f>MAX(Z61*Z$14,'Output - Jobs vs Yr (BAU)'!Z12)</f>
        <v>1072.1566405141382</v>
      </c>
      <c r="AA37" s="174">
        <f>MAX(AA61*AA$14,'Output - Jobs vs Yr (BAU)'!AA12)</f>
        <v>1094.1415032702464</v>
      </c>
      <c r="AB37" s="174">
        <f>MAX(AB61*AB$14,'Output - Jobs vs Yr (BAU)'!AB12)</f>
        <v>1114.8388487865561</v>
      </c>
      <c r="AC37" s="174">
        <f>MAX(AC61*AC$14,'Output - Jobs vs Yr (BAU)'!AC12)</f>
        <v>1137.2392195351933</v>
      </c>
      <c r="AD37" s="174">
        <f>MAX(AD61*AD$14,'Output - Jobs vs Yr (BAU)'!AD12)</f>
        <v>1161.3781939691478</v>
      </c>
      <c r="AE37" s="174">
        <f>MAX(AE61*AE$14,'Output - Jobs vs Yr (BAU)'!AE12)</f>
        <v>1188.4854224167427</v>
      </c>
      <c r="AF37" s="174">
        <f>MAX(AF61*AF$14,'Output - Jobs vs Yr (BAU)'!AF12)</f>
        <v>1213.8620383601428</v>
      </c>
      <c r="AG37" s="174">
        <f>MAX(AG61*AG$14,'Output - Jobs vs Yr (BAU)'!AG12)</f>
        <v>1246.8537213130505</v>
      </c>
      <c r="AH37" s="184">
        <f>Inputs!I20*'Output -Jobs vs Yr'!$AH$14</f>
        <v>1276.8349325071545</v>
      </c>
      <c r="AI37" s="127"/>
    </row>
    <row r="38" spans="1:36" s="20" customFormat="1">
      <c r="A38" s="9" t="s">
        <v>347</v>
      </c>
      <c r="B38" s="35">
        <v>1</v>
      </c>
      <c r="C38" s="330">
        <f>'Output - Jobs vs Yr (BAU)'!C13</f>
        <v>0</v>
      </c>
      <c r="D38" s="330">
        <f>MAX(D62*D$14,'Output - Jobs vs Yr (BAU)'!D13)</f>
        <v>0</v>
      </c>
      <c r="E38" s="330">
        <f>MAX(E62*E$14,'Output - Jobs vs Yr (BAU)'!E13)</f>
        <v>0.02</v>
      </c>
      <c r="F38" s="330">
        <f>MAX(F62*F$14,'Output - Jobs vs Yr (BAU)'!F13)</f>
        <v>0.02</v>
      </c>
      <c r="G38" s="330">
        <f>MAX(G62*G$14,'Output - Jobs vs Yr (BAU)'!G13)</f>
        <v>0.02</v>
      </c>
      <c r="H38" s="286">
        <f>'Output - Jobs vs Yr (BAU)'!H13</f>
        <v>0.02</v>
      </c>
      <c r="I38" s="118">
        <f>MAX(I62*I$14,'Output - Jobs vs Yr (BAU)'!I13)</f>
        <v>2.1216884132405946E-2</v>
      </c>
      <c r="J38" s="118">
        <f>MAX(J62*J$14,'Output - Jobs vs Yr (BAU)'!J13)</f>
        <v>2.3493789195546351E-2</v>
      </c>
      <c r="K38" s="118">
        <f>MAX(K62*K$14,'Output - Jobs vs Yr (BAU)'!K13)</f>
        <v>2.5740722733162753E-2</v>
      </c>
      <c r="L38" s="118">
        <f>MAX(L62*L$14,'Output - Jobs vs Yr (BAU)'!L13)</f>
        <v>2.81218960357567E-2</v>
      </c>
      <c r="M38" s="118">
        <f>MAX(M62*M$14,'Output - Jobs vs Yr (BAU)'!M13)</f>
        <v>3.0661332609557397E-2</v>
      </c>
      <c r="N38" s="184">
        <f>MAX(Inputs!$E21*N$21,'Output - Jobs vs Yr (BAU)'!N13)</f>
        <v>3.3377977142478803E-2</v>
      </c>
      <c r="O38" s="174">
        <f>MAX(O62*O$14,'Output - Jobs vs Yr (BAU)'!O13)</f>
        <v>3.4371654863889704E-2</v>
      </c>
      <c r="P38" s="174">
        <f>MAX(P62*P$14,'Output - Jobs vs Yr (BAU)'!P13)</f>
        <v>3.5250570314656685E-2</v>
      </c>
      <c r="Q38" s="174">
        <f>MAX(Q62*Q$14,'Output - Jobs vs Yr (BAU)'!Q13)</f>
        <v>3.6037898511000123E-2</v>
      </c>
      <c r="R38" s="174">
        <f>MAX(R62*R$14,'Output - Jobs vs Yr (BAU)'!R13)</f>
        <v>3.6659693899977308E-2</v>
      </c>
      <c r="S38" s="174">
        <f>MAX(S62*S$14,'Output - Jobs vs Yr (BAU)'!S13)</f>
        <v>3.7358031957142719E-2</v>
      </c>
      <c r="T38" s="174">
        <f>MAX(T62*T$14,'Output - Jobs vs Yr (BAU)'!T13)</f>
        <v>3.8241650011517629E-2</v>
      </c>
      <c r="U38" s="174">
        <f>MAX(U62*U$14,'Output - Jobs vs Yr (BAU)'!U13)</f>
        <v>3.8950751945987717E-2</v>
      </c>
      <c r="V38" s="174">
        <f>MAX(V62*V$14,'Output - Jobs vs Yr (BAU)'!V13)</f>
        <v>3.9597942031071733E-2</v>
      </c>
      <c r="W38" s="174">
        <f>MAX(W62*W$14,'Output - Jobs vs Yr (BAU)'!W13)</f>
        <v>4.0571022092890791E-2</v>
      </c>
      <c r="X38" s="184">
        <f>Inputs!F21*'Output -Jobs vs Yr'!$X$14</f>
        <v>4.1390242618032105E-2</v>
      </c>
      <c r="Y38" s="174">
        <f>MAX(Y62*Y$14,'Output - Jobs vs Yr (BAU)'!Y13)</f>
        <v>4.2134088850893092E-2</v>
      </c>
      <c r="Z38" s="174">
        <f>MAX(Z62*Z$14,'Output - Jobs vs Yr (BAU)'!Z13)</f>
        <v>4.3149342210825128E-2</v>
      </c>
      <c r="AA38" s="174">
        <f>MAX(AA62*AA$14,'Output - Jobs vs Yr (BAU)'!AA13)</f>
        <v>4.403413117791713E-2</v>
      </c>
      <c r="AB38" s="174">
        <f>MAX(AB62*AB$14,'Output - Jobs vs Yr (BAU)'!AB13)</f>
        <v>4.4867103535492302E-2</v>
      </c>
      <c r="AC38" s="174">
        <f>MAX(AC62*AC$14,'Output - Jobs vs Yr (BAU)'!AC13)</f>
        <v>4.5768614776068868E-2</v>
      </c>
      <c r="AD38" s="174">
        <f>MAX(AD62*AD$14,'Output - Jobs vs Yr (BAU)'!AD13)</f>
        <v>4.6740096767701723E-2</v>
      </c>
      <c r="AE38" s="174">
        <f>MAX(AE62*AE$14,'Output - Jobs vs Yr (BAU)'!AE13)</f>
        <v>4.7831037244562828E-2</v>
      </c>
      <c r="AF38" s="174">
        <f>MAX(AF62*AF$14,'Output - Jobs vs Yr (BAU)'!AF13)</f>
        <v>4.8852328578419944E-2</v>
      </c>
      <c r="AG38" s="174">
        <f>MAX(AG62*AG$14,'Output - Jobs vs Yr (BAU)'!AG13)</f>
        <v>5.0180091112412555E-2</v>
      </c>
      <c r="AH38" s="184">
        <f>Inputs!I21*'Output -Jobs vs Yr'!$AH$14</f>
        <v>5.1386696092342588E-2</v>
      </c>
      <c r="AI38" s="127"/>
    </row>
    <row r="39" spans="1:36" s="20" customFormat="1">
      <c r="A39" s="9" t="s">
        <v>348</v>
      </c>
      <c r="B39" s="35">
        <v>1</v>
      </c>
      <c r="C39" s="330">
        <f>'Output - Jobs vs Yr (BAU)'!C14</f>
        <v>0</v>
      </c>
      <c r="D39" s="330">
        <f>MAX(D63*D$14,'Output - Jobs vs Yr (BAU)'!D14)</f>
        <v>0</v>
      </c>
      <c r="E39" s="330">
        <f>MAX(E63*E$14,'Output - Jobs vs Yr (BAU)'!E14)</f>
        <v>0.01</v>
      </c>
      <c r="F39" s="330">
        <f>MAX(F63*F$14,'Output - Jobs vs Yr (BAU)'!F14)</f>
        <v>0.01</v>
      </c>
      <c r="G39" s="330">
        <f>MAX(G63*G$14,'Output - Jobs vs Yr (BAU)'!G14)</f>
        <v>0.01</v>
      </c>
      <c r="H39" s="286">
        <f>'Output - Jobs vs Yr (BAU)'!H14</f>
        <v>0.01</v>
      </c>
      <c r="I39" s="118">
        <f>MAX(I63*I$14,'Output - Jobs vs Yr (BAU)'!I14)</f>
        <v>1.0608442066202973E-2</v>
      </c>
      <c r="J39" s="118">
        <f>MAX(J63*J$14,'Output - Jobs vs Yr (BAU)'!J14)</f>
        <v>1.1746894597773175E-2</v>
      </c>
      <c r="K39" s="118">
        <f>MAX(K63*K$14,'Output - Jobs vs Yr (BAU)'!K14)</f>
        <v>1.2870361366581377E-2</v>
      </c>
      <c r="L39" s="118">
        <f>MAX(L63*L$14,'Output - Jobs vs Yr (BAU)'!L14)</f>
        <v>1.406094801787835E-2</v>
      </c>
      <c r="M39" s="118">
        <f>MAX(M63*M$14,'Output - Jobs vs Yr (BAU)'!M14)</f>
        <v>1.5330666304778699E-2</v>
      </c>
      <c r="N39" s="184">
        <f>MAX(Inputs!$E22*N$21,'Output - Jobs vs Yr (BAU)'!N14)</f>
        <v>1.6688988571239401E-2</v>
      </c>
      <c r="O39" s="174">
        <f>MAX(O63*O$14,'Output - Jobs vs Yr (BAU)'!O14)</f>
        <v>1.7185827431944852E-2</v>
      </c>
      <c r="P39" s="174">
        <f>MAX(P63*P$14,'Output - Jobs vs Yr (BAU)'!P14)</f>
        <v>1.7625285157328342E-2</v>
      </c>
      <c r="Q39" s="174">
        <f>MAX(Q63*Q$14,'Output - Jobs vs Yr (BAU)'!Q14)</f>
        <v>1.8018949255500061E-2</v>
      </c>
      <c r="R39" s="174">
        <f>MAX(R63*R$14,'Output - Jobs vs Yr (BAU)'!R14)</f>
        <v>1.8329846949988654E-2</v>
      </c>
      <c r="S39" s="174">
        <f>MAX(S63*S$14,'Output - Jobs vs Yr (BAU)'!S14)</f>
        <v>1.867901597857136E-2</v>
      </c>
      <c r="T39" s="174">
        <f>MAX(T63*T$14,'Output - Jobs vs Yr (BAU)'!T14)</f>
        <v>1.9120825005758815E-2</v>
      </c>
      <c r="U39" s="174">
        <f>MAX(U63*U$14,'Output - Jobs vs Yr (BAU)'!U14)</f>
        <v>1.9475375972993859E-2</v>
      </c>
      <c r="V39" s="174">
        <f>MAX(V63*V$14,'Output - Jobs vs Yr (BAU)'!V14)</f>
        <v>1.9798971015535866E-2</v>
      </c>
      <c r="W39" s="174">
        <f>MAX(W63*W$14,'Output - Jobs vs Yr (BAU)'!W14)</f>
        <v>2.0285511046445395E-2</v>
      </c>
      <c r="X39" s="184">
        <f>Inputs!F22*'Output -Jobs vs Yr'!$X$14</f>
        <v>2.0695121309016053E-2</v>
      </c>
      <c r="Y39" s="174">
        <f>MAX(Y63*Y$14,'Output - Jobs vs Yr (BAU)'!Y14)</f>
        <v>2.1067044425446546E-2</v>
      </c>
      <c r="Z39" s="174">
        <f>MAX(Z63*Z$14,'Output - Jobs vs Yr (BAU)'!Z14)</f>
        <v>2.1574671105412564E-2</v>
      </c>
      <c r="AA39" s="174">
        <f>MAX(AA63*AA$14,'Output - Jobs vs Yr (BAU)'!AA14)</f>
        <v>2.2017065588958565E-2</v>
      </c>
      <c r="AB39" s="174">
        <f>MAX(AB63*AB$14,'Output - Jobs vs Yr (BAU)'!AB14)</f>
        <v>2.2433551767746151E-2</v>
      </c>
      <c r="AC39" s="174">
        <f>MAX(AC63*AC$14,'Output - Jobs vs Yr (BAU)'!AC14)</f>
        <v>2.2884307388034434E-2</v>
      </c>
      <c r="AD39" s="174">
        <f>MAX(AD63*AD$14,'Output - Jobs vs Yr (BAU)'!AD14)</f>
        <v>2.3370048383850862E-2</v>
      </c>
      <c r="AE39" s="174">
        <f>MAX(AE63*AE$14,'Output - Jobs vs Yr (BAU)'!AE14)</f>
        <v>2.3915518622281414E-2</v>
      </c>
      <c r="AF39" s="174">
        <f>MAX(AF63*AF$14,'Output - Jobs vs Yr (BAU)'!AF14)</f>
        <v>2.4426164289209972E-2</v>
      </c>
      <c r="AG39" s="174">
        <f>MAX(AG63*AG$14,'Output - Jobs vs Yr (BAU)'!AG14)</f>
        <v>2.5090045556206277E-2</v>
      </c>
      <c r="AH39" s="184">
        <f>Inputs!I22*'Output -Jobs vs Yr'!$AH$14</f>
        <v>2.5693348046171294E-2</v>
      </c>
      <c r="AI39" s="127"/>
    </row>
    <row r="40" spans="1:36" s="20" customFormat="1">
      <c r="A40" s="9" t="s">
        <v>344</v>
      </c>
      <c r="B40" s="35">
        <v>1</v>
      </c>
      <c r="C40" s="330">
        <f>'Output - Jobs vs Yr (BAU)'!C15</f>
        <v>0.01</v>
      </c>
      <c r="D40" s="330">
        <f>MAX(D64*D$14,'Output - Jobs vs Yr (BAU)'!D15)</f>
        <v>1.0723870632773125E-2</v>
      </c>
      <c r="E40" s="330">
        <f>MAX(E64*E$14,'Output - Jobs vs Yr (BAU)'!E15)</f>
        <v>1.30460288305059E-2</v>
      </c>
      <c r="F40" s="330">
        <f>MAX(F64*F$14,'Output - Jobs vs Yr (BAU)'!F15)</f>
        <v>1.4335663572219329E-2</v>
      </c>
      <c r="G40" s="330">
        <f>MAX(G64*G$14,'Output - Jobs vs Yr (BAU)'!G15)</f>
        <v>1.3763128515269653E-2</v>
      </c>
      <c r="H40" s="286">
        <f>'Output - Jobs vs Yr (BAU)'!H15</f>
        <v>0.01</v>
      </c>
      <c r="I40" s="118">
        <f>MAX(I64*I$14,'Output - Jobs vs Yr (BAU)'!I15)</f>
        <v>1.0608442066202973E-2</v>
      </c>
      <c r="J40" s="118">
        <f>MAX(J64*J$14,'Output - Jobs vs Yr (BAU)'!J15)</f>
        <v>1.1746894597773175E-2</v>
      </c>
      <c r="K40" s="118">
        <f>MAX(K64*K$14,'Output - Jobs vs Yr (BAU)'!K15)</f>
        <v>1.2870361366581377E-2</v>
      </c>
      <c r="L40" s="118">
        <f>MAX(L64*L$14,'Output - Jobs vs Yr (BAU)'!L15)</f>
        <v>1.406094801787835E-2</v>
      </c>
      <c r="M40" s="118">
        <f>MAX(M64*M$14,'Output - Jobs vs Yr (BAU)'!M15)</f>
        <v>1.5330666304778699E-2</v>
      </c>
      <c r="N40" s="184">
        <f>MAX(Inputs!$E18*N$21,'Output - Jobs vs Yr (BAU)'!N15)</f>
        <v>1.6688988571239401E-2</v>
      </c>
      <c r="O40" s="174">
        <f>MAX(O64*O$14,'Output - Jobs vs Yr (BAU)'!O15)</f>
        <v>1.7185827431944852E-2</v>
      </c>
      <c r="P40" s="174">
        <f>MAX(P64*P$14,'Output - Jobs vs Yr (BAU)'!P15)</f>
        <v>1.7625285157328342E-2</v>
      </c>
      <c r="Q40" s="174">
        <f>MAX(Q64*Q$14,'Output - Jobs vs Yr (BAU)'!Q15)</f>
        <v>1.8018949255500061E-2</v>
      </c>
      <c r="R40" s="174">
        <f>MAX(R64*R$14,'Output - Jobs vs Yr (BAU)'!R15)</f>
        <v>1.8329846949988654E-2</v>
      </c>
      <c r="S40" s="174">
        <f>MAX(S64*S$14,'Output - Jobs vs Yr (BAU)'!S15)</f>
        <v>1.867901597857136E-2</v>
      </c>
      <c r="T40" s="174">
        <f>MAX(T64*T$14,'Output - Jobs vs Yr (BAU)'!T15)</f>
        <v>1.9120825005758815E-2</v>
      </c>
      <c r="U40" s="174">
        <f>MAX(U64*U$14,'Output - Jobs vs Yr (BAU)'!U15)</f>
        <v>1.9475375972993859E-2</v>
      </c>
      <c r="V40" s="174">
        <f>MAX(V64*V$14,'Output - Jobs vs Yr (BAU)'!V15)</f>
        <v>1.9798971015535866E-2</v>
      </c>
      <c r="W40" s="174">
        <f>MAX(W64*W$14,'Output - Jobs vs Yr (BAU)'!W15)</f>
        <v>2.0285511046445395E-2</v>
      </c>
      <c r="X40" s="184">
        <f>Inputs!F18*'Output -Jobs vs Yr'!$X$14</f>
        <v>2.0695121309016053E-2</v>
      </c>
      <c r="Y40" s="174">
        <f>MAX(Y64*Y$14,'Output - Jobs vs Yr (BAU)'!Y15)</f>
        <v>2.1067044425446546E-2</v>
      </c>
      <c r="Z40" s="174">
        <f>MAX(Z64*Z$14,'Output - Jobs vs Yr (BAU)'!Z15)</f>
        <v>2.1574671105412564E-2</v>
      </c>
      <c r="AA40" s="174">
        <f>MAX(AA64*AA$14,'Output - Jobs vs Yr (BAU)'!AA15)</f>
        <v>2.2017065588958565E-2</v>
      </c>
      <c r="AB40" s="174">
        <f>MAX(AB64*AB$14,'Output - Jobs vs Yr (BAU)'!AB15)</f>
        <v>2.2433551767746151E-2</v>
      </c>
      <c r="AC40" s="174">
        <f>MAX(AC64*AC$14,'Output - Jobs vs Yr (BAU)'!AC15)</f>
        <v>2.2884307388034434E-2</v>
      </c>
      <c r="AD40" s="174">
        <f>MAX(AD64*AD$14,'Output - Jobs vs Yr (BAU)'!AD15)</f>
        <v>2.3370048383850862E-2</v>
      </c>
      <c r="AE40" s="174">
        <f>MAX(AE64*AE$14,'Output - Jobs vs Yr (BAU)'!AE15)</f>
        <v>2.3915518622281414E-2</v>
      </c>
      <c r="AF40" s="174">
        <f>MAX(AF64*AF$14,'Output - Jobs vs Yr (BAU)'!AF15)</f>
        <v>2.4426164289209972E-2</v>
      </c>
      <c r="AG40" s="174">
        <f>MAX(AG64*AG$14,'Output - Jobs vs Yr (BAU)'!AG15)</f>
        <v>2.5090045556206277E-2</v>
      </c>
      <c r="AH40" s="184">
        <f>Inputs!I18*'Output -Jobs vs Yr'!$AH$14</f>
        <v>2.5693348046171294E-2</v>
      </c>
      <c r="AI40" s="127"/>
    </row>
    <row r="41" spans="1:36" s="252" customFormat="1">
      <c r="A41" s="10" t="s">
        <v>120</v>
      </c>
      <c r="B41" s="37">
        <v>1</v>
      </c>
      <c r="C41" s="330">
        <v>0</v>
      </c>
      <c r="D41" s="330">
        <v>0</v>
      </c>
      <c r="E41" s="330">
        <v>0</v>
      </c>
      <c r="F41" s="330">
        <v>0</v>
      </c>
      <c r="G41" s="330">
        <v>0</v>
      </c>
      <c r="H41" s="286">
        <v>1</v>
      </c>
      <c r="I41" s="286">
        <v>2</v>
      </c>
      <c r="J41" s="286">
        <v>3</v>
      </c>
      <c r="K41" s="286">
        <v>4</v>
      </c>
      <c r="L41" s="286">
        <v>5</v>
      </c>
      <c r="M41" s="286">
        <v>6</v>
      </c>
      <c r="N41" s="287">
        <v>7</v>
      </c>
      <c r="O41" s="286">
        <v>8</v>
      </c>
      <c r="P41" s="286">
        <v>9</v>
      </c>
      <c r="Q41" s="286">
        <v>10</v>
      </c>
      <c r="R41" s="286">
        <v>11</v>
      </c>
      <c r="S41" s="286">
        <v>12</v>
      </c>
      <c r="T41" s="286">
        <v>13</v>
      </c>
      <c r="U41" s="286">
        <v>14</v>
      </c>
      <c r="V41" s="286">
        <v>15</v>
      </c>
      <c r="W41" s="286">
        <v>16</v>
      </c>
      <c r="X41" s="287">
        <v>17</v>
      </c>
      <c r="Y41" s="252">
        <v>18</v>
      </c>
      <c r="Z41" s="252">
        <v>19</v>
      </c>
      <c r="AA41" s="252">
        <v>20</v>
      </c>
      <c r="AB41" s="252">
        <v>21</v>
      </c>
      <c r="AC41" s="252">
        <v>22</v>
      </c>
      <c r="AD41" s="197">
        <v>23</v>
      </c>
      <c r="AE41" s="252">
        <v>24</v>
      </c>
      <c r="AF41" s="252">
        <v>25</v>
      </c>
      <c r="AG41" s="252">
        <v>26</v>
      </c>
      <c r="AH41" s="287">
        <v>27</v>
      </c>
      <c r="AI41" s="252">
        <f>EXP(0.01)</f>
        <v>1.0100501670841679</v>
      </c>
      <c r="AJ41" s="482">
        <v>0.01</v>
      </c>
    </row>
    <row r="42" spans="1:36" s="20" customFormat="1">
      <c r="A42" s="9" t="s">
        <v>53</v>
      </c>
      <c r="B42" s="35">
        <v>1</v>
      </c>
      <c r="C42" s="330">
        <f>EIA_RE_aeo2014!E78*1000</f>
        <v>3572</v>
      </c>
      <c r="D42" s="330">
        <f>MAX(D66*D$14,'Output - Jobs vs Yr (BAU)'!D16)</f>
        <v>4745</v>
      </c>
      <c r="E42" s="330">
        <f>MAX(E66*E$14,'Output - Jobs vs Yr (BAU)'!E16)</f>
        <v>4824.9349438022591</v>
      </c>
      <c r="F42" s="330">
        <f>MAX(F66*F$14,'Output - Jobs vs Yr (BAU)'!F16)</f>
        <v>5479.2620000000006</v>
      </c>
      <c r="G42" s="330">
        <f>MAX(G66*G$14,'Output - Jobs vs Yr (BAU)'!G16)</f>
        <v>6447.4790000000003</v>
      </c>
      <c r="H42" s="286">
        <f>'Output - Jobs vs Yr (BAU)'!H16</f>
        <v>6467.473</v>
      </c>
      <c r="I42" s="118">
        <f>MAX(I66*I$14,'Output - Jobs vs Yr (BAU)'!I16)</f>
        <v>6981.3123995739606</v>
      </c>
      <c r="J42" s="118">
        <f>MAX(J66*J$14,'Output - Jobs vs Yr (BAU)'!J16)</f>
        <v>7866.0983861935756</v>
      </c>
      <c r="K42" s="118">
        <f>MAX(K66*K$14,'Output - Jobs vs Yr (BAU)'!K16)</f>
        <v>8769.5615790783559</v>
      </c>
      <c r="L42" s="118">
        <f>MAX(L66*L$14,'Output - Jobs vs Yr (BAU)'!L16)</f>
        <v>9748.8319180000599</v>
      </c>
      <c r="M42" s="118">
        <f>MAX(M66*M$14,'Output - Jobs vs Yr (BAU)'!M16)</f>
        <v>10815.580885091416</v>
      </c>
      <c r="N42" s="184">
        <f>MAX(Inputs!$E23*N$21,'Output - Jobs vs Yr (BAU)'!N16)</f>
        <v>11980.354665511744</v>
      </c>
      <c r="O42" s="174">
        <f>MAX(O66*O$14,'Output - Jobs vs Yr (BAU)'!O16)</f>
        <v>12337.015330563539</v>
      </c>
      <c r="P42" s="174">
        <f>MAX(P66*P$14,'Output - Jobs vs Yr (BAU)'!P16)</f>
        <v>12652.484382994095</v>
      </c>
      <c r="Q42" s="174">
        <f>MAX(Q66*Q$14,'Output - Jobs vs Yr (BAU)'!Q16)</f>
        <v>12935.080029521388</v>
      </c>
      <c r="R42" s="174">
        <f>MAX(R66*R$14,'Output - Jobs vs Yr (BAU)'!R16)</f>
        <v>13158.260998743337</v>
      </c>
      <c r="S42" s="174">
        <f>MAX(S66*S$14,'Output - Jobs vs Yr (BAU)'!S16)</f>
        <v>13408.915421734675</v>
      </c>
      <c r="T42" s="174">
        <f>MAX(T66*T$14,'Output - Jobs vs Yr (BAU)'!T16)</f>
        <v>13726.072379302017</v>
      </c>
      <c r="U42" s="174">
        <f>MAX(U66*U$14,'Output - Jobs vs Yr (BAU)'!U16)</f>
        <v>13980.590279913213</v>
      </c>
      <c r="V42" s="174">
        <f>MAX(V66*V$14,'Output - Jobs vs Yr (BAU)'!V16)</f>
        <v>14212.886165377209</v>
      </c>
      <c r="W42" s="174">
        <f>MAX(W66*W$14,'Output - Jobs vs Yr (BAU)'!W16)</f>
        <v>14562.153714119519</v>
      </c>
      <c r="X42" s="184">
        <f>Inputs!F23*'Output -Jobs vs Yr'!$X$14</f>
        <v>14856.196471670852</v>
      </c>
      <c r="Y42" s="174">
        <f>MAX(Y66*Y$14,'Output - Jobs vs Yr (BAU)'!Y16)</f>
        <v>15123.185140523947</v>
      </c>
      <c r="Z42" s="174">
        <f>MAX(Z66*Z$14,'Output - Jobs vs Yr (BAU)'!Z16)</f>
        <v>15487.589947784083</v>
      </c>
      <c r="AA42" s="174">
        <f>MAX(AA66*AA$14,'Output - Jobs vs Yr (BAU)'!AA16)</f>
        <v>15805.167180959299</v>
      </c>
      <c r="AB42" s="174">
        <f>MAX(AB66*AB$14,'Output - Jobs vs Yr (BAU)'!AB16)</f>
        <v>16104.145882625964</v>
      </c>
      <c r="AC42" s="174">
        <f>MAX(AC66*AC$14,'Output - Jobs vs Yr (BAU)'!AC16)</f>
        <v>16427.725240085212</v>
      </c>
      <c r="AD42" s="174">
        <f>MAX(AD66*AD$14,'Output - Jobs vs Yr (BAU)'!AD16)</f>
        <v>16776.419193623435</v>
      </c>
      <c r="AE42" s="174">
        <f>MAX(AE66*AE$14,'Output - Jobs vs Yr (BAU)'!AE16)</f>
        <v>17167.990371707951</v>
      </c>
      <c r="AF42" s="174">
        <f>MAX(AF66*AF$14,'Output - Jobs vs Yr (BAU)'!AF16)</f>
        <v>17534.56238846598</v>
      </c>
      <c r="AG42" s="174">
        <f>MAX(AG66*AG$14,'Output - Jobs vs Yr (BAU)'!AG16)</f>
        <v>18011.136088570944</v>
      </c>
      <c r="AH42" s="184">
        <f>Inputs!I23*'Output -Jobs vs Yr'!$AH$14</f>
        <v>18444.222717488836</v>
      </c>
      <c r="AI42" s="127"/>
    </row>
    <row r="43" spans="1:36">
      <c r="A43" s="10" t="s">
        <v>332</v>
      </c>
      <c r="B43" s="37"/>
      <c r="C43" s="330">
        <f>SUM(C31:C42)</f>
        <v>84600</v>
      </c>
      <c r="D43" s="330">
        <f t="shared" ref="D43:AG43" si="29">SUM(D31:D42)</f>
        <v>85224.384608393331</v>
      </c>
      <c r="E43" s="330">
        <f t="shared" si="29"/>
        <v>95271.232044447243</v>
      </c>
      <c r="F43" s="330">
        <f t="shared" si="29"/>
        <v>97463.728545279213</v>
      </c>
      <c r="G43" s="330">
        <f t="shared" si="29"/>
        <v>88305.372486763474</v>
      </c>
      <c r="H43" s="286">
        <f t="shared" si="29"/>
        <v>86492.022910572399</v>
      </c>
      <c r="I43" s="83">
        <f t="shared" si="29"/>
        <v>85746.83457487468</v>
      </c>
      <c r="J43" s="83">
        <f t="shared" si="29"/>
        <v>88818.381265707474</v>
      </c>
      <c r="K43" s="83">
        <f t="shared" si="29"/>
        <v>91151.551592550444</v>
      </c>
      <c r="L43" s="83">
        <f t="shared" si="29"/>
        <v>93407.367023127474</v>
      </c>
      <c r="M43" s="83">
        <f t="shared" si="29"/>
        <v>95670.869939487515</v>
      </c>
      <c r="N43" s="184">
        <f t="shared" si="29"/>
        <v>97999.434251766259</v>
      </c>
      <c r="O43" s="83">
        <f t="shared" si="29"/>
        <v>99234.660546013271</v>
      </c>
      <c r="P43" s="83">
        <f t="shared" si="29"/>
        <v>100076.49146528413</v>
      </c>
      <c r="Q43" s="83">
        <f t="shared" si="29"/>
        <v>100607.92294818367</v>
      </c>
      <c r="R43" s="83">
        <f t="shared" si="29"/>
        <v>100640.44394017658</v>
      </c>
      <c r="S43" s="83">
        <f t="shared" si="29"/>
        <v>100851.60581925958</v>
      </c>
      <c r="T43" s="83">
        <f t="shared" si="29"/>
        <v>101520.73943090125</v>
      </c>
      <c r="U43" s="83">
        <f t="shared" si="29"/>
        <v>101685.3250620608</v>
      </c>
      <c r="V43" s="83">
        <f t="shared" si="29"/>
        <v>101658.66863128611</v>
      </c>
      <c r="W43" s="83">
        <f t="shared" si="29"/>
        <v>102428.7375163923</v>
      </c>
      <c r="X43" s="184">
        <f t="shared" si="29"/>
        <v>102764.62846299226</v>
      </c>
      <c r="Y43" s="174">
        <f t="shared" si="29"/>
        <v>102881.84660229142</v>
      </c>
      <c r="Z43" s="174">
        <f t="shared" si="29"/>
        <v>103624.21772783711</v>
      </c>
      <c r="AA43" s="174">
        <f t="shared" si="29"/>
        <v>104011.6695303875</v>
      </c>
      <c r="AB43" s="174">
        <f t="shared" si="29"/>
        <v>104243.76898028638</v>
      </c>
      <c r="AC43" s="174">
        <f t="shared" si="29"/>
        <v>104602.80618221998</v>
      </c>
      <c r="AD43" s="174">
        <f t="shared" si="29"/>
        <v>105085.58290786677</v>
      </c>
      <c r="AE43" s="174">
        <f t="shared" si="29"/>
        <v>105795.22520588391</v>
      </c>
      <c r="AF43" s="174">
        <f t="shared" si="29"/>
        <v>106308.95694228989</v>
      </c>
      <c r="AG43" s="174">
        <f t="shared" si="29"/>
        <v>107440.88261316574</v>
      </c>
      <c r="AH43" s="184">
        <f>SUM(AH31:AH42)</f>
        <v>108260.2086426577</v>
      </c>
      <c r="AI43" s="127"/>
    </row>
    <row r="44" spans="1:36">
      <c r="A44" s="10" t="s">
        <v>124</v>
      </c>
      <c r="B44" s="37"/>
      <c r="C44" s="331">
        <f>SUMPRODUCT($B34:$B42,C34:C42)</f>
        <v>5033.01</v>
      </c>
      <c r="D44" s="331">
        <f>SUMPRODUCT($B34:$B42,D34:D42)</f>
        <v>6606.0107238706332</v>
      </c>
      <c r="E44" s="331">
        <f t="shared" ref="E44:AG44" si="30">SUMPRODUCT($B34:$B42*E34:E42)</f>
        <v>7148.3225322675953</v>
      </c>
      <c r="F44" s="331">
        <f t="shared" si="30"/>
        <v>8243.2120457187048</v>
      </c>
      <c r="G44" s="331">
        <f t="shared" si="30"/>
        <v>9383.2118157111108</v>
      </c>
      <c r="H44" s="402">
        <f t="shared" si="30"/>
        <v>8176.3778605723983</v>
      </c>
      <c r="I44" s="14">
        <f>SUMPRODUCT($B34:$B42*I34:I42)</f>
        <v>8935.6540763865978</v>
      </c>
      <c r="J44" s="14">
        <f t="shared" si="30"/>
        <v>10182.783247306275</v>
      </c>
      <c r="K44" s="14">
        <f t="shared" si="30"/>
        <v>11497.265972859052</v>
      </c>
      <c r="L44" s="14">
        <f t="shared" si="30"/>
        <v>12952.135528029621</v>
      </c>
      <c r="M44" s="14">
        <f t="shared" si="30"/>
        <v>14570.843505881146</v>
      </c>
      <c r="N44" s="182">
        <f t="shared" si="30"/>
        <v>16377.052501766259</v>
      </c>
      <c r="O44" s="14">
        <f t="shared" si="30"/>
        <v>16865.39648908747</v>
      </c>
      <c r="P44" s="14">
        <f t="shared" si="30"/>
        <v>17297.455927238923</v>
      </c>
      <c r="Q44" s="14">
        <f t="shared" si="30"/>
        <v>17684.596880456251</v>
      </c>
      <c r="R44" s="14">
        <f t="shared" si="30"/>
        <v>17990.55314306806</v>
      </c>
      <c r="S44" s="14">
        <f t="shared" si="30"/>
        <v>18334.049352798829</v>
      </c>
      <c r="T44" s="14">
        <f t="shared" si="30"/>
        <v>18768.415158038624</v>
      </c>
      <c r="U44" s="14">
        <f t="shared" si="30"/>
        <v>19117.190454511172</v>
      </c>
      <c r="V44" s="14">
        <f t="shared" si="30"/>
        <v>19435.601631306956</v>
      </c>
      <c r="W44" s="14">
        <f t="shared" si="30"/>
        <v>19913.843440523662</v>
      </c>
      <c r="X44" s="187">
        <f t="shared" si="30"/>
        <v>20316.62576299224</v>
      </c>
      <c r="Y44" s="14">
        <f t="shared" si="30"/>
        <v>20682.442328271354</v>
      </c>
      <c r="Z44" s="14">
        <f t="shared" si="30"/>
        <v>21181.369420050018</v>
      </c>
      <c r="AA44" s="14">
        <f t="shared" si="30"/>
        <v>21616.31074099055</v>
      </c>
      <c r="AB44" s="14">
        <f t="shared" si="30"/>
        <v>22025.838896661837</v>
      </c>
      <c r="AC44" s="14">
        <f t="shared" si="30"/>
        <v>22468.980480149803</v>
      </c>
      <c r="AD44" s="14">
        <f t="shared" si="30"/>
        <v>22946.438770642089</v>
      </c>
      <c r="AE44" s="14">
        <f t="shared" si="30"/>
        <v>23482.484727976596</v>
      </c>
      <c r="AF44" s="14">
        <f t="shared" si="30"/>
        <v>23984.371805632076</v>
      </c>
      <c r="AG44" s="14">
        <f t="shared" si="30"/>
        <v>24636.566032644936</v>
      </c>
      <c r="AH44" s="187">
        <f>SUMPRODUCT($B34:$B42*AH34:AH42)</f>
        <v>25229.333542657689</v>
      </c>
      <c r="AI44" s="127"/>
    </row>
    <row r="45" spans="1:36">
      <c r="A45" s="10" t="s">
        <v>117</v>
      </c>
      <c r="B45" s="37"/>
      <c r="C45" s="332">
        <f t="shared" ref="C45:AG45" si="31">C44/C14</f>
        <v>4.8313958511322516E-2</v>
      </c>
      <c r="D45" s="332">
        <f t="shared" si="31"/>
        <v>6.4057664641997497E-2</v>
      </c>
      <c r="E45" s="332">
        <f t="shared" si="31"/>
        <v>6.1723104776269931E-2</v>
      </c>
      <c r="F45" s="332">
        <f t="shared" si="31"/>
        <v>7.0168015475195189E-2</v>
      </c>
      <c r="G45" s="332">
        <f t="shared" si="31"/>
        <v>9.0122543919529743E-2</v>
      </c>
      <c r="H45" s="284">
        <f t="shared" si="31"/>
        <v>7.7375019218485525E-2</v>
      </c>
      <c r="I45" s="23">
        <f t="shared" si="31"/>
        <v>8.6348166370363008E-2</v>
      </c>
      <c r="J45" s="23">
        <f t="shared" si="31"/>
        <v>9.6263217400567536E-2</v>
      </c>
      <c r="K45" s="23">
        <f t="shared" si="31"/>
        <v>0.1074630957746122</v>
      </c>
      <c r="L45" s="23">
        <f t="shared" si="31"/>
        <v>0.12003858081013484</v>
      </c>
      <c r="M45" s="23">
        <f t="shared" si="31"/>
        <v>0.13417027271970511</v>
      </c>
      <c r="N45" s="178">
        <f t="shared" si="31"/>
        <v>0.15006414151694913</v>
      </c>
      <c r="O45" s="23">
        <f t="shared" si="31"/>
        <v>0.15196132762420861</v>
      </c>
      <c r="P45" s="23">
        <f t="shared" si="31"/>
        <v>0.15388235252593813</v>
      </c>
      <c r="Q45" s="207">
        <f t="shared" si="31"/>
        <v>0.15582753654919962</v>
      </c>
      <c r="R45" s="207">
        <f t="shared" si="31"/>
        <v>0.15779743764436521</v>
      </c>
      <c r="S45" s="207">
        <f t="shared" si="31"/>
        <v>0.15979178112601794</v>
      </c>
      <c r="T45" s="207">
        <f t="shared" si="31"/>
        <v>0.16181052839169943</v>
      </c>
      <c r="U45" s="207">
        <f t="shared" si="31"/>
        <v>0.1638550323176842</v>
      </c>
      <c r="V45" s="207">
        <f t="shared" si="31"/>
        <v>0.1659253348818473</v>
      </c>
      <c r="W45" s="207">
        <f t="shared" si="31"/>
        <v>0.16802048552746179</v>
      </c>
      <c r="X45" s="185">
        <f t="shared" si="31"/>
        <v>0.17014236715660386</v>
      </c>
      <c r="Y45" s="172">
        <f t="shared" si="31"/>
        <v>0.17293591046429532</v>
      </c>
      <c r="Z45" s="172">
        <f t="shared" si="31"/>
        <v>0.17577411989721409</v>
      </c>
      <c r="AA45" s="172">
        <f t="shared" si="31"/>
        <v>0.17865917627014483</v>
      </c>
      <c r="AB45" s="172">
        <f t="shared" si="31"/>
        <v>0.18159158368199865</v>
      </c>
      <c r="AC45" s="172">
        <f t="shared" si="31"/>
        <v>0.18457165131447628</v>
      </c>
      <c r="AD45" s="172">
        <f t="shared" si="31"/>
        <v>0.18760015509695457</v>
      </c>
      <c r="AE45" s="172">
        <f t="shared" si="31"/>
        <v>0.19067768197609705</v>
      </c>
      <c r="AF45" s="172">
        <f t="shared" si="31"/>
        <v>0.19380581337508954</v>
      </c>
      <c r="AG45" s="172">
        <f t="shared" si="31"/>
        <v>0.19698382076833817</v>
      </c>
      <c r="AH45" s="185">
        <f>AH44/AH14</f>
        <v>0.20021426587307317</v>
      </c>
      <c r="AI45" s="127"/>
    </row>
    <row r="46" spans="1:36" s="252" customFormat="1">
      <c r="A46" s="10" t="s">
        <v>333</v>
      </c>
      <c r="B46" s="37"/>
      <c r="C46" s="330">
        <f>SUM(EIA_electricity_aeo2014!E50,EIA_electricity_aeo2014!E55)*1000</f>
        <v>112.99999999999999</v>
      </c>
      <c r="D46" s="330">
        <f>SUM(EIA_electricity_aeo2014!F50,EIA_electricity_aeo2014!F55)*1000</f>
        <v>94</v>
      </c>
      <c r="E46" s="330">
        <f>SUM(EIA_electricity_aeo2014!G50,EIA_electricity_aeo2014!G55)*1000</f>
        <v>74.876501638662162</v>
      </c>
      <c r="F46" s="330">
        <f>SUM(EIA_electricity_aeo2014!H50,EIA_electricity_aeo2014!H55)*1000</f>
        <v>88.715541827283275</v>
      </c>
      <c r="G46" s="330">
        <f>SUM(EIA_electricity_aeo2014!I50,EIA_electricity_aeo2014!I55)*1000</f>
        <v>58.589961545033873</v>
      </c>
      <c r="H46" s="286">
        <f>SUM(EIA_electricity_aeo2014!J50,EIA_electricity_aeo2014!J55)*1000</f>
        <v>59.666839722857276</v>
      </c>
      <c r="I46" s="286">
        <f>SUM(EIA_electricity_aeo2014!K50,EIA_electricity_aeo2014!K55)*1000</f>
        <v>61.907678053354914</v>
      </c>
      <c r="J46" s="286">
        <f>SUM(EIA_electricity_aeo2014!L50,EIA_electricity_aeo2014!L55)*1000</f>
        <v>61.924001999613886</v>
      </c>
      <c r="K46" s="286">
        <f>SUM(EIA_electricity_aeo2014!M50,EIA_electricity_aeo2014!M55)*1000</f>
        <v>62.927068103802846</v>
      </c>
      <c r="L46" s="286">
        <f>SUM(EIA_electricity_aeo2014!N50,EIA_electricity_aeo2014!N55)*1000</f>
        <v>63.354770612115182</v>
      </c>
      <c r="M46" s="286">
        <f>SUM(EIA_electricity_aeo2014!O50,EIA_electricity_aeo2014!O55)*1000</f>
        <v>63.276235674489214</v>
      </c>
      <c r="N46" s="286">
        <f>SUM(EIA_electricity_aeo2014!P50,EIA_electricity_aeo2014!P55)*1000</f>
        <v>63.325355575151121</v>
      </c>
      <c r="O46" s="286">
        <f>SUM(EIA_electricity_aeo2014!Q50,EIA_electricity_aeo2014!Q55)*1000</f>
        <v>62.699528796636706</v>
      </c>
      <c r="P46" s="286">
        <f>SUM(EIA_electricity_aeo2014!R50,EIA_electricity_aeo2014!R55)*1000</f>
        <v>62.388545188797728</v>
      </c>
      <c r="Q46" s="286">
        <f>SUM(EIA_electricity_aeo2014!S50,EIA_electricity_aeo2014!S55)*1000</f>
        <v>62.404012646402649</v>
      </c>
      <c r="R46" s="286">
        <f>SUM(EIA_electricity_aeo2014!T50,EIA_electricity_aeo2014!T55)*1000</f>
        <v>62.447222145976163</v>
      </c>
      <c r="S46" s="286">
        <f>SUM(EIA_electricity_aeo2014!U50,EIA_electricity_aeo2014!U55)*1000</f>
        <v>62.505292462204238</v>
      </c>
      <c r="T46" s="286">
        <f>SUM(EIA_electricity_aeo2014!V50,EIA_electricity_aeo2014!V55)*1000</f>
        <v>62.472274621917869</v>
      </c>
      <c r="U46" s="286">
        <f>SUM(EIA_electricity_aeo2014!W50,EIA_electricity_aeo2014!W55)*1000</f>
        <v>62.41401982225689</v>
      </c>
      <c r="V46" s="286">
        <f>SUM(EIA_electricity_aeo2014!X50,EIA_electricity_aeo2014!X55)*1000</f>
        <v>62.375123823608469</v>
      </c>
      <c r="W46" s="286">
        <f>SUM(EIA_electricity_aeo2014!Y50,EIA_electricity_aeo2014!Y55)*1000</f>
        <v>62.355122527112272</v>
      </c>
      <c r="X46" s="286">
        <f>SUM(EIA_electricity_aeo2014!Z50,EIA_electricity_aeo2014!Z55)*1000</f>
        <v>62.332794802631618</v>
      </c>
      <c r="Y46" s="286">
        <f>SUM(EIA_electricity_aeo2014!AA50,EIA_electricity_aeo2014!AA55)*1000</f>
        <v>62.331280600082465</v>
      </c>
      <c r="Z46" s="286">
        <f>SUM(EIA_electricity_aeo2014!AB50,EIA_electricity_aeo2014!AB55)*1000</f>
        <v>62.313318739402675</v>
      </c>
      <c r="AA46" s="286">
        <f>SUM(EIA_electricity_aeo2014!AC50,EIA_electricity_aeo2014!AC55)*1000</f>
        <v>62.287544940156351</v>
      </c>
      <c r="AB46" s="286">
        <f>SUM(EIA_electricity_aeo2014!AD50,EIA_electricity_aeo2014!AD55)*1000</f>
        <v>62.264707356721594</v>
      </c>
      <c r="AC46" s="286">
        <f>SUM(EIA_electricity_aeo2014!AE50,EIA_electricity_aeo2014!AE55)*1000</f>
        <v>62.250969849697469</v>
      </c>
      <c r="AD46" s="286">
        <f>SUM(EIA_electricity_aeo2014!AF50,EIA_electricity_aeo2014!AF55)*1000</f>
        <v>62.278292778940894</v>
      </c>
      <c r="AE46" s="286">
        <f>SUM(EIA_electricity_aeo2014!AG50,EIA_electricity_aeo2014!AG55)*1000</f>
        <v>62.248856022867898</v>
      </c>
      <c r="AF46" s="286">
        <f>SUM(EIA_electricity_aeo2014!AH50,EIA_electricity_aeo2014!AH55)*1000</f>
        <v>62.232456188720718</v>
      </c>
      <c r="AG46" s="286">
        <f>SUM(EIA_electricity_aeo2014!AI50,EIA_electricity_aeo2014!AI55)*1000</f>
        <v>62.217344750403832</v>
      </c>
      <c r="AH46" s="286">
        <f>SUM(EIA_electricity_aeo2014!AJ50,EIA_electricity_aeo2014!AJ55)*1000</f>
        <v>62.195641207160875</v>
      </c>
      <c r="AI46" s="292"/>
    </row>
    <row r="47" spans="1:36" s="252" customFormat="1">
      <c r="A47" s="10" t="s">
        <v>142</v>
      </c>
      <c r="B47" s="37"/>
      <c r="C47" s="330">
        <f>(C$14-C$43-C$46)*0.7</f>
        <v>13622</v>
      </c>
      <c r="D47" s="330">
        <f>(D$14-D$30-D$43-D$46)*EIA_electricity_aeo2014!F60</f>
        <v>8040.1110052012036</v>
      </c>
      <c r="E47" s="330">
        <f>(E$14-E$30-E$43-E$46)*EIA_electricity_aeo2014!G60</f>
        <v>8508.026330340439</v>
      </c>
      <c r="F47" s="330">
        <f>(F$14-F$30-F$43-F$46)*EIA_electricity_aeo2014!H60</f>
        <v>7438.2569230319559</v>
      </c>
      <c r="G47" s="330">
        <f>(G$14-G$30-G$43-G$46)*EIA_electricity_aeo2014!I60</f>
        <v>4858.2578579460396</v>
      </c>
      <c r="H47" s="286">
        <f>(H$14-H$30-H$43-H$46)*EIA_electricity_aeo2014!J60</f>
        <v>6136.1994468712237</v>
      </c>
      <c r="I47" s="286">
        <f>(I$14-I$30-I$43-I$46)*EIA_electricity_aeo2014!K60</f>
        <v>7809.4027885894175</v>
      </c>
      <c r="J47" s="286">
        <f>(J$14-J$30-J$43-J$46)*EIA_electricity_aeo2014!L60</f>
        <v>7119.7149338267755</v>
      </c>
      <c r="K47" s="286">
        <f>(K$14-K$30-K$43-K$46)*EIA_electricity_aeo2014!M60</f>
        <v>6783.5557135968011</v>
      </c>
      <c r="L47" s="286">
        <f>(L$14-L$30-L$43-L$46)*EIA_electricity_aeo2014!N60</f>
        <v>5880.4472929118838</v>
      </c>
      <c r="M47" s="286">
        <f>(M$14-M$30-M$43-M$46)*EIA_electricity_aeo2014!O60</f>
        <v>5117.0626647142926</v>
      </c>
      <c r="N47" s="287">
        <f>(N$14-N$43-N$46)*EIA_electricity_aeo2014!P60 - N30</f>
        <v>4293.7329717104758</v>
      </c>
      <c r="O47" s="286">
        <f>(O$14-O$43-O$46)*EIA_electricity_aeo2014!Q60 - O30</f>
        <v>4072.9626905195819</v>
      </c>
      <c r="P47" s="286">
        <f>(P$14-P$43-P$46)*EIA_electricity_aeo2014!R60 - P30</f>
        <v>3927.7317846388019</v>
      </c>
      <c r="Q47" s="286">
        <f>(Q$14-Q$43-Q$46)*EIA_electricity_aeo2014!S60 - Q30</f>
        <v>3914.2598816527211</v>
      </c>
      <c r="R47" s="286">
        <f>(R$14-R$43-R$46)*EIA_electricity_aeo2014!T60 - R30</f>
        <v>3990.570083448958</v>
      </c>
      <c r="S47" s="286">
        <f>(S$14-S$43-S$46)*EIA_electricity_aeo2014!U60 - S30</f>
        <v>4002.3128402686011</v>
      </c>
      <c r="T47" s="286">
        <f>(T$14-T$43-T$46)*EIA_electricity_aeo2014!V60 - T30</f>
        <v>3972.146059657563</v>
      </c>
      <c r="U47" s="286">
        <f>(U$14-U$43-U$46)*EIA_electricity_aeo2014!W60 - U30</f>
        <v>4003.9313623048747</v>
      </c>
      <c r="V47" s="286">
        <f>(V$14-V$43-V$46)*EIA_electricity_aeo2014!X60 - V30</f>
        <v>4057.4914490616875</v>
      </c>
      <c r="W47" s="286">
        <f>(W$14-W$43-W$46)*EIA_electricity_aeo2014!Y60 - W30</f>
        <v>4059.5526129336354</v>
      </c>
      <c r="X47" s="287">
        <f>(X$14-X$43-X$46)*EIA_electricity_aeo2014!Z60 - X30</f>
        <v>4062.003543846251</v>
      </c>
      <c r="Y47" s="286">
        <f>(Y$14-Y$43-Y$46)*EIA_electricity_aeo2014!AA60 - Y30</f>
        <v>4076.9932461798458</v>
      </c>
      <c r="Z47" s="286">
        <f>(Z$14-Z$43-Z$46)*EIA_electricity_aeo2014!AB60 - Z30</f>
        <v>3983.7523392616499</v>
      </c>
      <c r="AA47" s="286">
        <f>(AA$14-AA$43-AA$46)*EIA_electricity_aeo2014!AC60 - AA30</f>
        <v>3948.9818496793</v>
      </c>
      <c r="AB47" s="286">
        <f>(AB$14-AB$43-AB$46)*EIA_electricity_aeo2014!AD60 - AB30</f>
        <v>3934.1442970617973</v>
      </c>
      <c r="AC47" s="286">
        <f>(AC$14-AC$43-AC$46)*EIA_electricity_aeo2014!AE60 - AC30</f>
        <v>3915.1892471679457</v>
      </c>
      <c r="AD47" s="286">
        <f>(AD$14-AD$43-AD$46)*EIA_electricity_aeo2014!AF60 - AD30</f>
        <v>3955.1734641297562</v>
      </c>
      <c r="AE47" s="286">
        <f>(AE$14-AE$43-AE$46)*EIA_electricity_aeo2014!AG60 - AE30</f>
        <v>3971.2495845482417</v>
      </c>
      <c r="AF47" s="286">
        <f>(AF$14-AF$43-AF$46)*EIA_electricity_aeo2014!AH60 - AF30</f>
        <v>3939.1052944706862</v>
      </c>
      <c r="AG47" s="286">
        <f>(AG$14-AG$43-AG$46)*EIA_electricity_aeo2014!AI60 - AG30</f>
        <v>3865.560092388539</v>
      </c>
      <c r="AH47" s="287">
        <f>(AH$14-AH$43-AH$46)*EIA_electricity_aeo2014!AJ60 - AH30</f>
        <v>3794.3906022272467</v>
      </c>
      <c r="AI47" s="292"/>
      <c r="AJ47" s="398"/>
    </row>
    <row r="48" spans="1:36" s="252" customFormat="1">
      <c r="A48" s="10" t="s">
        <v>222</v>
      </c>
      <c r="B48" s="37"/>
      <c r="C48" s="330">
        <f>(C$14-C$43-C$46)* 0.3</f>
        <v>5838</v>
      </c>
      <c r="D48" s="330">
        <f t="shared" ref="D48:AH48" si="32">(D$14-SUM(D30:D42,D46:D47))</f>
        <v>9767.504386405446</v>
      </c>
      <c r="E48" s="330">
        <f t="shared" si="32"/>
        <v>11958.615602966907</v>
      </c>
      <c r="F48" s="330">
        <f>(F$14-SUM(F30:F42,F46:F47))</f>
        <v>12487.497423914872</v>
      </c>
      <c r="G48" s="330">
        <f t="shared" si="32"/>
        <v>10893.924307787456</v>
      </c>
      <c r="H48" s="286">
        <f t="shared" si="32"/>
        <v>12984.173222418598</v>
      </c>
      <c r="I48" s="286">
        <f t="shared" si="32"/>
        <v>9865.8599118703278</v>
      </c>
      <c r="J48" s="286">
        <f t="shared" si="32"/>
        <v>9780.6042392012896</v>
      </c>
      <c r="K48" s="286">
        <f t="shared" si="32"/>
        <v>8990.0054731478303</v>
      </c>
      <c r="L48" s="286">
        <f t="shared" si="32"/>
        <v>8548.6031417125778</v>
      </c>
      <c r="M48" s="286">
        <f t="shared" si="32"/>
        <v>7748.4325748882984</v>
      </c>
      <c r="N48" s="287">
        <f t="shared" si="32"/>
        <v>6777.1907660564902</v>
      </c>
      <c r="O48" s="286">
        <f t="shared" si="32"/>
        <v>7614.4702261781931</v>
      </c>
      <c r="P48" s="286">
        <f t="shared" si="32"/>
        <v>8340.4033258931158</v>
      </c>
      <c r="Q48" s="286">
        <f t="shared" si="32"/>
        <v>8903.6789164555958</v>
      </c>
      <c r="R48" s="286">
        <f t="shared" si="32"/>
        <v>9316.9651061071199</v>
      </c>
      <c r="S48" s="286">
        <f t="shared" si="32"/>
        <v>9820.699719845361</v>
      </c>
      <c r="T48" s="286">
        <f t="shared" si="32"/>
        <v>10434.716209519975</v>
      </c>
      <c r="U48" s="286">
        <f t="shared" si="32"/>
        <v>10919.695604835943</v>
      </c>
      <c r="V48" s="286">
        <f t="shared" si="32"/>
        <v>11356.088300712436</v>
      </c>
      <c r="W48" s="286">
        <f t="shared" si="32"/>
        <v>11969.685040067707</v>
      </c>
      <c r="X48" s="287">
        <f t="shared" si="32"/>
        <v>12520.598510077936</v>
      </c>
      <c r="Y48" s="286">
        <f t="shared" si="32"/>
        <v>12574.824131505215</v>
      </c>
      <c r="Z48" s="286">
        <f t="shared" si="32"/>
        <v>12833.061659701329</v>
      </c>
      <c r="AA48" s="286">
        <f t="shared" si="32"/>
        <v>12968.947370859634</v>
      </c>
      <c r="AB48" s="286">
        <f t="shared" si="32"/>
        <v>13053.102519050517</v>
      </c>
      <c r="AC48" s="286">
        <f t="shared" si="32"/>
        <v>13155.569042250601</v>
      </c>
      <c r="AD48" s="286">
        <f t="shared" si="32"/>
        <v>13212.63591013971</v>
      </c>
      <c r="AE48" s="286">
        <f t="shared" si="32"/>
        <v>13324.046434525459</v>
      </c>
      <c r="AF48" s="286">
        <f t="shared" si="32"/>
        <v>13444.361516526726</v>
      </c>
      <c r="AG48" s="286">
        <f t="shared" si="32"/>
        <v>13700.322450642168</v>
      </c>
      <c r="AH48" s="287">
        <f t="shared" si="32"/>
        <v>13894.872827196363</v>
      </c>
      <c r="AI48" s="292"/>
    </row>
    <row r="49" spans="1:35" s="252" customFormat="1">
      <c r="A49" s="10" t="s">
        <v>334</v>
      </c>
      <c r="B49" s="37"/>
      <c r="C49" s="330">
        <f>SUM(C43,C46:C48)</f>
        <v>104173</v>
      </c>
      <c r="D49" s="330">
        <f t="shared" ref="D49:M49" si="33">SUM(D43,D46:D48)+D30</f>
        <v>103125.99999999999</v>
      </c>
      <c r="E49" s="330">
        <f t="shared" si="33"/>
        <v>115812.75047939325</v>
      </c>
      <c r="F49" s="330">
        <f t="shared" si="33"/>
        <v>117478.19843405332</v>
      </c>
      <c r="G49" s="330">
        <f t="shared" si="33"/>
        <v>104116.144614042</v>
      </c>
      <c r="H49" s="286">
        <f>SUM(H43,H46:H48)+H30</f>
        <v>105672.06241958508</v>
      </c>
      <c r="I49" s="286">
        <f t="shared" si="33"/>
        <v>103484.00495338778</v>
      </c>
      <c r="J49" s="286">
        <f t="shared" si="33"/>
        <v>105780.62444073515</v>
      </c>
      <c r="K49" s="286">
        <f t="shared" si="33"/>
        <v>106988.03984739888</v>
      </c>
      <c r="L49" s="286">
        <f t="shared" si="33"/>
        <v>107899.77222836405</v>
      </c>
      <c r="M49" s="286">
        <f t="shared" si="33"/>
        <v>108599.6414147646</v>
      </c>
      <c r="N49" s="287">
        <f t="shared" ref="N49:AH49" si="34">SUM(N43,N46:N48)+N30</f>
        <v>109133.68334510838</v>
      </c>
      <c r="O49" s="286">
        <f t="shared" si="34"/>
        <v>110984.79299150768</v>
      </c>
      <c r="P49" s="286">
        <f t="shared" si="34"/>
        <v>112407.01512100484</v>
      </c>
      <c r="Q49" s="286">
        <f t="shared" si="34"/>
        <v>113488.26575893839</v>
      </c>
      <c r="R49" s="286">
        <f t="shared" si="34"/>
        <v>114010.42635187863</v>
      </c>
      <c r="S49" s="286">
        <f t="shared" si="34"/>
        <v>114737.12367183574</v>
      </c>
      <c r="T49" s="286">
        <f t="shared" si="34"/>
        <v>115990.0739747007</v>
      </c>
      <c r="U49" s="286">
        <f t="shared" si="34"/>
        <v>116671.36604902388</v>
      </c>
      <c r="V49" s="286">
        <f t="shared" si="34"/>
        <v>117134.62350488386</v>
      </c>
      <c r="W49" s="286">
        <f t="shared" si="34"/>
        <v>118520.33029192075</v>
      </c>
      <c r="X49" s="287">
        <f t="shared" si="34"/>
        <v>119409.56331171907</v>
      </c>
      <c r="Y49" s="286">
        <f t="shared" si="34"/>
        <v>119595.99526057656</v>
      </c>
      <c r="Z49" s="286">
        <f t="shared" si="34"/>
        <v>120503.34504553949</v>
      </c>
      <c r="AA49" s="286">
        <f t="shared" si="34"/>
        <v>120991.8862958666</v>
      </c>
      <c r="AB49" s="286">
        <f t="shared" si="34"/>
        <v>121293.28050375541</v>
      </c>
      <c r="AC49" s="286">
        <f t="shared" si="34"/>
        <v>121735.81544148823</v>
      </c>
      <c r="AD49" s="286">
        <f t="shared" si="34"/>
        <v>122315.67057491517</v>
      </c>
      <c r="AE49" s="286">
        <f t="shared" si="34"/>
        <v>123152.77008098048</v>
      </c>
      <c r="AF49" s="286">
        <f t="shared" si="34"/>
        <v>123754.65620947603</v>
      </c>
      <c r="AG49" s="286">
        <f t="shared" si="34"/>
        <v>125068.98250094685</v>
      </c>
      <c r="AH49" s="287">
        <f t="shared" si="34"/>
        <v>126011.66771328847</v>
      </c>
      <c r="AI49" s="292"/>
    </row>
    <row r="50" spans="1:35">
      <c r="A50" s="10"/>
      <c r="B50" s="37"/>
      <c r="C50" s="332" t="b">
        <f t="shared" ref="C50:AH50" si="35">(C49=C14)</f>
        <v>1</v>
      </c>
      <c r="D50" s="332" t="b">
        <f t="shared" si="35"/>
        <v>1</v>
      </c>
      <c r="E50" s="332" t="b">
        <f t="shared" si="35"/>
        <v>1</v>
      </c>
      <c r="F50" s="332" t="b">
        <f t="shared" si="35"/>
        <v>1</v>
      </c>
      <c r="G50" s="332" t="b">
        <f t="shared" si="35"/>
        <v>1</v>
      </c>
      <c r="H50" s="284"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543</v>
      </c>
      <c r="B51" s="37"/>
      <c r="C51" s="332"/>
      <c r="D51" s="332">
        <f>D44/C44-1</f>
        <v>0.31253677697255378</v>
      </c>
      <c r="E51" s="332">
        <f t="shared" ref="E51:X51" si="36">E44/D44-1</f>
        <v>8.2093691800610324E-2</v>
      </c>
      <c r="F51" s="332">
        <f t="shared" si="36"/>
        <v>0.15316733520469561</v>
      </c>
      <c r="G51" s="332">
        <f>G44/F44-1</f>
        <v>0.13829557746054699</v>
      </c>
      <c r="H51" s="284"/>
      <c r="I51" s="164">
        <f t="shared" ref="I51:N51" si="37">I44/H44-1</f>
        <v>9.286217305043265E-2</v>
      </c>
      <c r="J51" s="172">
        <f t="shared" si="37"/>
        <v>0.13956775410715005</v>
      </c>
      <c r="K51" s="172">
        <f t="shared" si="37"/>
        <v>0.12908874652718416</v>
      </c>
      <c r="L51" s="172">
        <f t="shared" si="37"/>
        <v>0.12654048002412033</v>
      </c>
      <c r="M51" s="172">
        <f t="shared" si="37"/>
        <v>0.12497614577522698</v>
      </c>
      <c r="N51" s="172">
        <f t="shared" si="37"/>
        <v>0.12396049653241303</v>
      </c>
      <c r="O51" s="172">
        <f t="shared" ref="O51:R51" si="38">O44/N44-1</f>
        <v>2.9818795981056079E-2</v>
      </c>
      <c r="P51" s="172">
        <f t="shared" si="38"/>
        <v>2.5618101444043306E-2</v>
      </c>
      <c r="Q51" s="172">
        <f t="shared" si="38"/>
        <v>2.2381381102852371E-2</v>
      </c>
      <c r="R51" s="172">
        <f t="shared" si="38"/>
        <v>1.730072020753437E-2</v>
      </c>
      <c r="S51" s="164">
        <f t="shared" si="36"/>
        <v>1.9093143329121043E-2</v>
      </c>
      <c r="T51" s="164">
        <f t="shared" si="36"/>
        <v>2.3691754989930036E-2</v>
      </c>
      <c r="U51" s="164">
        <f t="shared" si="36"/>
        <v>1.858309790867807E-2</v>
      </c>
      <c r="V51" s="164">
        <f t="shared" si="36"/>
        <v>1.6655751667769003E-2</v>
      </c>
      <c r="W51" s="164">
        <f t="shared" si="36"/>
        <v>2.4606483415792635E-2</v>
      </c>
      <c r="X51" s="185">
        <f t="shared" si="36"/>
        <v>2.022624731742817E-2</v>
      </c>
      <c r="Y51" s="172">
        <f t="shared" ref="Y51:AH51" si="39">Y44/X44-1</f>
        <v>1.8005773672588266E-2</v>
      </c>
      <c r="Z51" s="172">
        <f t="shared" si="39"/>
        <v>2.4123219291982245E-2</v>
      </c>
      <c r="AA51" s="172">
        <f t="shared" si="39"/>
        <v>2.0534145470727738E-2</v>
      </c>
      <c r="AB51" s="172">
        <f t="shared" si="39"/>
        <v>1.8945330707830221E-2</v>
      </c>
      <c r="AC51" s="172">
        <f t="shared" si="39"/>
        <v>2.0119169379520407E-2</v>
      </c>
      <c r="AD51" s="172">
        <f t="shared" si="39"/>
        <v>2.1249664216589359E-2</v>
      </c>
      <c r="AE51" s="172">
        <f t="shared" si="39"/>
        <v>2.3360747290352091E-2</v>
      </c>
      <c r="AF51" s="172">
        <f t="shared" si="39"/>
        <v>2.1372826745950757E-2</v>
      </c>
      <c r="AG51" s="172">
        <f t="shared" si="39"/>
        <v>2.7192466506865465E-2</v>
      </c>
      <c r="AH51" s="185">
        <f t="shared" si="39"/>
        <v>2.406047617299012E-2</v>
      </c>
      <c r="AI51" s="127"/>
    </row>
    <row r="52" spans="1:35">
      <c r="A52" s="10"/>
      <c r="B52" s="37"/>
      <c r="C52" s="332"/>
      <c r="D52" s="332"/>
      <c r="E52" s="332"/>
      <c r="F52" s="332"/>
      <c r="G52" s="332"/>
      <c r="H52" s="284"/>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79"/>
      <c r="AI52" s="127"/>
    </row>
    <row r="53" spans="1:35">
      <c r="A53" s="1" t="s">
        <v>542</v>
      </c>
      <c r="B53" s="37"/>
      <c r="C53" s="332"/>
      <c r="D53" s="332"/>
      <c r="E53" s="332"/>
      <c r="F53" s="332"/>
      <c r="G53" s="332"/>
      <c r="H53" s="284"/>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79"/>
      <c r="AI53" s="127"/>
    </row>
    <row r="54" spans="1:35">
      <c r="A54" s="9" t="s">
        <v>282</v>
      </c>
      <c r="B54" s="37"/>
      <c r="C54" s="332"/>
      <c r="D54" s="332"/>
      <c r="E54" s="332"/>
      <c r="F54" s="332"/>
      <c r="G54" s="332"/>
      <c r="H54" s="284"/>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79"/>
      <c r="AI54" s="127"/>
    </row>
    <row r="55" spans="1:35">
      <c r="A55" s="20" t="s">
        <v>122</v>
      </c>
      <c r="B55" s="37"/>
      <c r="C55" s="332"/>
      <c r="D55" s="332"/>
      <c r="E55" s="332"/>
      <c r="F55" s="332"/>
      <c r="G55" s="332"/>
      <c r="H55" s="284"/>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79"/>
      <c r="AI55" s="127"/>
    </row>
    <row r="56" spans="1:35">
      <c r="A56" s="9" t="s">
        <v>49</v>
      </c>
      <c r="B56" s="37"/>
      <c r="C56" s="336">
        <f t="shared" ref="C56:M56" si="40">C31/C$49</f>
        <v>0.70011413706046677</v>
      </c>
      <c r="D56" s="336">
        <f t="shared" si="40"/>
        <v>0.69764141011893976</v>
      </c>
      <c r="E56" s="336">
        <f t="shared" si="40"/>
        <v>0.69516868317741276</v>
      </c>
      <c r="F56" s="336">
        <f t="shared" si="40"/>
        <v>0.69269595623588565</v>
      </c>
      <c r="G56" s="336">
        <f t="shared" si="40"/>
        <v>0.69022322929435875</v>
      </c>
      <c r="H56" s="396">
        <f t="shared" si="40"/>
        <v>0.66658965896122035</v>
      </c>
      <c r="I56" s="173">
        <f t="shared" si="40"/>
        <v>0.66764373925162857</v>
      </c>
      <c r="J56" s="173">
        <f t="shared" si="40"/>
        <v>0.66869781954203678</v>
      </c>
      <c r="K56" s="173">
        <f t="shared" si="40"/>
        <v>0.66975189983244499</v>
      </c>
      <c r="L56" s="173">
        <f t="shared" si="40"/>
        <v>0.6708059801228532</v>
      </c>
      <c r="M56" s="173">
        <f t="shared" si="40"/>
        <v>0.67186006041326141</v>
      </c>
      <c r="N56" s="178">
        <f>N26</f>
        <v>0.67291414070366984</v>
      </c>
      <c r="O56" s="116">
        <f t="shared" ref="O56:AH56" si="41">O31/O$49</f>
        <v>0.66774541388200381</v>
      </c>
      <c r="P56" s="116">
        <f t="shared" si="41"/>
        <v>0.66257668706033779</v>
      </c>
      <c r="Q56" s="116">
        <f t="shared" si="41"/>
        <v>0.65740796023867176</v>
      </c>
      <c r="R56" s="116">
        <f t="shared" si="41"/>
        <v>0.65223923341700574</v>
      </c>
      <c r="S56" s="116">
        <f t="shared" si="41"/>
        <v>0.64707050659533971</v>
      </c>
      <c r="T56" s="116">
        <f t="shared" si="41"/>
        <v>0.64190177977367369</v>
      </c>
      <c r="U56" s="116">
        <f t="shared" si="41"/>
        <v>0.63673305295200766</v>
      </c>
      <c r="V56" s="116">
        <f t="shared" si="41"/>
        <v>0.63156432613034164</v>
      </c>
      <c r="W56" s="116">
        <f t="shared" si="41"/>
        <v>0.62639559930867561</v>
      </c>
      <c r="X56" s="178">
        <f t="shared" si="41"/>
        <v>0.62122687248700925</v>
      </c>
      <c r="Y56" s="173">
        <f t="shared" si="41"/>
        <v>0.61838826192923202</v>
      </c>
      <c r="Z56" s="173">
        <f t="shared" si="41"/>
        <v>0.61554965137145456</v>
      </c>
      <c r="AA56" s="173">
        <f t="shared" si="41"/>
        <v>0.61271104081367722</v>
      </c>
      <c r="AB56" s="173">
        <f t="shared" si="41"/>
        <v>0.60987243025589988</v>
      </c>
      <c r="AC56" s="173">
        <f t="shared" si="41"/>
        <v>0.60703381969812253</v>
      </c>
      <c r="AD56" s="173">
        <f t="shared" si="41"/>
        <v>0.60419520914034519</v>
      </c>
      <c r="AE56" s="173">
        <f t="shared" si="41"/>
        <v>0.60135659858256796</v>
      </c>
      <c r="AF56" s="173">
        <f t="shared" si="41"/>
        <v>0.5985179880247905</v>
      </c>
      <c r="AG56" s="173">
        <f t="shared" si="41"/>
        <v>0.59567937746701316</v>
      </c>
      <c r="AH56" s="178">
        <f t="shared" si="41"/>
        <v>0.59284076690923582</v>
      </c>
      <c r="AI56" s="127"/>
    </row>
    <row r="57" spans="1:35">
      <c r="A57" s="9" t="s">
        <v>59</v>
      </c>
      <c r="B57" s="37"/>
      <c r="C57" s="336">
        <f t="shared" ref="C57:M57" si="42">C32/C$49</f>
        <v>6.3682528102291386E-2</v>
      </c>
      <c r="D57" s="336">
        <f t="shared" si="42"/>
        <v>6.4711186554282513E-2</v>
      </c>
      <c r="E57" s="336">
        <f t="shared" si="42"/>
        <v>6.5739845006273639E-2</v>
      </c>
      <c r="F57" s="336">
        <f t="shared" si="42"/>
        <v>6.6768503458264766E-2</v>
      </c>
      <c r="G57" s="336">
        <f t="shared" si="42"/>
        <v>6.7797161910255893E-2</v>
      </c>
      <c r="H57" s="396">
        <f t="shared" si="42"/>
        <v>7.4530020704321215E-2</v>
      </c>
      <c r="I57" s="116">
        <f t="shared" si="42"/>
        <v>7.460797909929999E-2</v>
      </c>
      <c r="J57" s="116">
        <f t="shared" si="42"/>
        <v>7.4685937494278765E-2</v>
      </c>
      <c r="K57" s="116">
        <f t="shared" si="42"/>
        <v>7.4763895889257539E-2</v>
      </c>
      <c r="L57" s="116">
        <f t="shared" si="42"/>
        <v>7.4841854284236314E-2</v>
      </c>
      <c r="M57" s="116">
        <f t="shared" si="42"/>
        <v>7.4919812679215089E-2</v>
      </c>
      <c r="N57" s="178">
        <f>N18</f>
        <v>7.4997771074193836E-2</v>
      </c>
      <c r="O57" s="116">
        <f t="shared" ref="O57:AH57" si="43">O32/O$49</f>
        <v>7.4421705024354259E-2</v>
      </c>
      <c r="P57" s="116">
        <f t="shared" si="43"/>
        <v>7.3845638974514682E-2</v>
      </c>
      <c r="Q57" s="116">
        <f t="shared" si="43"/>
        <v>7.3269572924675105E-2</v>
      </c>
      <c r="R57" s="116">
        <f t="shared" si="43"/>
        <v>7.2693506874835528E-2</v>
      </c>
      <c r="S57" s="116">
        <f t="shared" si="43"/>
        <v>7.2117440824995951E-2</v>
      </c>
      <c r="T57" s="116">
        <f t="shared" si="43"/>
        <v>7.1541374775156388E-2</v>
      </c>
      <c r="U57" s="116">
        <f t="shared" si="43"/>
        <v>7.0965308725316797E-2</v>
      </c>
      <c r="V57" s="116">
        <f t="shared" si="43"/>
        <v>7.038924267547722E-2</v>
      </c>
      <c r="W57" s="116">
        <f>W32/W$49</f>
        <v>6.9813176625637643E-2</v>
      </c>
      <c r="X57" s="178">
        <f t="shared" si="43"/>
        <v>6.9237110575798066E-2</v>
      </c>
      <c r="Y57" s="173">
        <f t="shared" si="43"/>
        <v>6.892074114334959E-2</v>
      </c>
      <c r="Z57" s="173">
        <f t="shared" si="43"/>
        <v>6.8604371710901113E-2</v>
      </c>
      <c r="AA57" s="173">
        <f t="shared" si="43"/>
        <v>6.8288002278452636E-2</v>
      </c>
      <c r="AB57" s="173">
        <f t="shared" si="43"/>
        <v>6.797163284600416E-2</v>
      </c>
      <c r="AC57" s="173">
        <f t="shared" si="43"/>
        <v>6.7655263413555683E-2</v>
      </c>
      <c r="AD57" s="173">
        <f t="shared" si="43"/>
        <v>6.7338893981107206E-2</v>
      </c>
      <c r="AE57" s="173">
        <f t="shared" si="43"/>
        <v>6.702252454865873E-2</v>
      </c>
      <c r="AF57" s="173">
        <f t="shared" si="43"/>
        <v>6.6706155116210253E-2</v>
      </c>
      <c r="AG57" s="173">
        <f t="shared" si="43"/>
        <v>6.6389785683761776E-2</v>
      </c>
      <c r="AH57" s="178">
        <f t="shared" si="43"/>
        <v>6.6073416251313286E-2</v>
      </c>
      <c r="AI57" s="127"/>
    </row>
    <row r="58" spans="1:35">
      <c r="A58" s="9" t="s">
        <v>121</v>
      </c>
      <c r="B58" s="37"/>
      <c r="C58" s="336">
        <f>C34/C$49</f>
        <v>1.2527238343908691E-2</v>
      </c>
      <c r="D58" s="336">
        <f t="shared" ref="D58:G59" si="44">C58*($N71)</f>
        <v>1.4722929581275405E-2</v>
      </c>
      <c r="E58" s="336">
        <f t="shared" si="44"/>
        <v>1.7303467013589244E-2</v>
      </c>
      <c r="F58" s="336">
        <f t="shared" si="44"/>
        <v>2.0336303929019677E-2</v>
      </c>
      <c r="G58" s="336">
        <f t="shared" si="44"/>
        <v>2.3900716380634499E-2</v>
      </c>
      <c r="H58" s="396">
        <f>H34/H$49</f>
        <v>1.2379112916108369E-2</v>
      </c>
      <c r="I58" s="116">
        <f t="shared" ref="I58:N59" si="45">H58*($N71)</f>
        <v>1.4548841711081664E-2</v>
      </c>
      <c r="J58" s="116">
        <f t="shared" si="45"/>
        <v>1.7098866176321472E-2</v>
      </c>
      <c r="K58" s="116">
        <f t="shared" si="45"/>
        <v>2.0095842014217193E-2</v>
      </c>
      <c r="L58" s="116">
        <f t="shared" si="45"/>
        <v>2.3618107896511812E-2</v>
      </c>
      <c r="M58" s="116">
        <f t="shared" si="45"/>
        <v>2.7757733177671114E-2</v>
      </c>
      <c r="N58" s="178">
        <f t="shared" si="45"/>
        <v>3.2622924517868704E-2</v>
      </c>
      <c r="O58" s="116">
        <f t="shared" ref="O58:W58" si="46">N58*$X71</f>
        <v>3.3033809311957756E-2</v>
      </c>
      <c r="P58" s="116">
        <f t="shared" si="46"/>
        <v>3.3449869188186397E-2</v>
      </c>
      <c r="Q58" s="116">
        <f t="shared" si="46"/>
        <v>3.3871169326565025E-2</v>
      </c>
      <c r="R58" s="116">
        <f t="shared" si="46"/>
        <v>3.4297775728044398E-2</v>
      </c>
      <c r="S58" s="116">
        <f t="shared" si="46"/>
        <v>3.472975522485533E-2</v>
      </c>
      <c r="T58" s="116">
        <f t="shared" si="46"/>
        <v>3.5167175490978676E-2</v>
      </c>
      <c r="U58" s="116">
        <f t="shared" si="46"/>
        <v>3.5610105052747115E-2</v>
      </c>
      <c r="V58" s="116">
        <f t="shared" si="46"/>
        <v>3.6058613299580509E-2</v>
      </c>
      <c r="W58" s="116">
        <f t="shared" si="46"/>
        <v>3.6512770494856475E-2</v>
      </c>
      <c r="X58" s="178">
        <f t="shared" ref="X58:X66" si="47">X34/X$49</f>
        <v>3.6972647786917855E-2</v>
      </c>
      <c r="Y58" s="173">
        <f>X58*$AH71</f>
        <v>3.757843254184761E-2</v>
      </c>
      <c r="Z58" s="173">
        <f t="shared" ref="Z58:AG58" si="48">Y58*$AH71</f>
        <v>3.8194142882075455E-2</v>
      </c>
      <c r="AA58" s="173">
        <f t="shared" si="48"/>
        <v>3.8819941435073786E-2</v>
      </c>
      <c r="AB58" s="173">
        <f t="shared" si="48"/>
        <v>3.9455993492912997E-2</v>
      </c>
      <c r="AC58" s="173">
        <f t="shared" si="48"/>
        <v>4.0102467055920063E-2</v>
      </c>
      <c r="AD58" s="173">
        <f t="shared" si="48"/>
        <v>4.0759532877052432E-2</v>
      </c>
      <c r="AE58" s="173">
        <f t="shared" si="48"/>
        <v>4.1427364506998965E-2</v>
      </c>
      <c r="AF58" s="173">
        <f t="shared" si="48"/>
        <v>4.2106138340019868E-2</v>
      </c>
      <c r="AG58" s="173">
        <f t="shared" si="48"/>
        <v>4.2796033660537663E-2</v>
      </c>
      <c r="AH58" s="178">
        <f t="shared" ref="AH58:AH66" si="49">AH34/AH$49</f>
        <v>4.3497232690491591E-2</v>
      </c>
      <c r="AI58" s="127"/>
    </row>
    <row r="59" spans="1:35">
      <c r="A59" s="9" t="s">
        <v>50</v>
      </c>
      <c r="B59" s="37"/>
      <c r="C59" s="336">
        <f t="shared" ref="C59:C65" si="50">C35/C$49</f>
        <v>0</v>
      </c>
      <c r="D59" s="336">
        <f t="shared" si="44"/>
        <v>0</v>
      </c>
      <c r="E59" s="336">
        <f t="shared" si="44"/>
        <v>0</v>
      </c>
      <c r="F59" s="336">
        <f t="shared" si="44"/>
        <v>0</v>
      </c>
      <c r="G59" s="336">
        <f t="shared" si="44"/>
        <v>0</v>
      </c>
      <c r="H59" s="396">
        <f>H35/H$49</f>
        <v>2.4915970595384339E-8</v>
      </c>
      <c r="I59" s="116">
        <f t="shared" si="45"/>
        <v>3.0572449750518868E-8</v>
      </c>
      <c r="J59" s="116">
        <f t="shared" si="45"/>
        <v>3.7513075405585395E-8</v>
      </c>
      <c r="K59" s="116">
        <f t="shared" si="45"/>
        <v>4.6029377359962876E-8</v>
      </c>
      <c r="L59" s="116">
        <f t="shared" si="45"/>
        <v>5.6479069157587784E-8</v>
      </c>
      <c r="M59" s="116">
        <f t="shared" si="45"/>
        <v>6.9301073268095066E-8</v>
      </c>
      <c r="N59" s="178">
        <f t="shared" si="45"/>
        <v>8.5033957318056499E-8</v>
      </c>
      <c r="O59" s="116">
        <f t="shared" ref="O59:V59" si="51">N59*$X72</f>
        <v>8.610495755974451E-8</v>
      </c>
      <c r="P59" s="116">
        <f t="shared" si="51"/>
        <v>8.7189447018609666E-8</v>
      </c>
      <c r="Q59" s="116">
        <f t="shared" si="51"/>
        <v>8.8287595590953542E-8</v>
      </c>
      <c r="R59" s="116">
        <f t="shared" si="51"/>
        <v>8.9399575312916748E-8</v>
      </c>
      <c r="S59" s="116">
        <f t="shared" si="51"/>
        <v>9.0525560387430122E-8</v>
      </c>
      <c r="T59" s="116">
        <f t="shared" si="51"/>
        <v>9.1665727211505382E-8</v>
      </c>
      <c r="U59" s="116">
        <f t="shared" si="51"/>
        <v>9.2820254403869533E-8</v>
      </c>
      <c r="V59" s="116">
        <f t="shared" si="51"/>
        <v>9.3989322832947304E-8</v>
      </c>
      <c r="W59" s="116">
        <f>V59*$X72</f>
        <v>9.5173115645196002E-8</v>
      </c>
      <c r="X59" s="178">
        <f t="shared" si="47"/>
        <v>9.6371818293797361E-8</v>
      </c>
      <c r="Y59" s="173">
        <f>X59*$AH72</f>
        <v>9.7950839051620927E-8</v>
      </c>
      <c r="Z59" s="173">
        <f t="shared" ref="Z59:AG59" si="52">Y59*$AH72</f>
        <v>9.9555731548691292E-8</v>
      </c>
      <c r="AA59" s="173">
        <f t="shared" si="52"/>
        <v>1.0118691968500366E-7</v>
      </c>
      <c r="AB59" s="173">
        <f t="shared" si="52"/>
        <v>1.0284483430601615E-7</v>
      </c>
      <c r="AC59" s="173">
        <f t="shared" si="52"/>
        <v>1.0452991331644898E-7</v>
      </c>
      <c r="AD59" s="173">
        <f t="shared" si="52"/>
        <v>1.0624260179594811E-7</v>
      </c>
      <c r="AE59" s="173">
        <f t="shared" si="52"/>
        <v>1.0798335211664413E-7</v>
      </c>
      <c r="AF59" s="173">
        <f t="shared" si="52"/>
        <v>1.0975262406263714E-7</v>
      </c>
      <c r="AG59" s="173">
        <f t="shared" si="52"/>
        <v>1.1155088495143956E-7</v>
      </c>
      <c r="AH59" s="178">
        <f t="shared" si="49"/>
        <v>1.1337860975740867E-7</v>
      </c>
      <c r="AI59" s="127"/>
    </row>
    <row r="60" spans="1:35">
      <c r="A60" s="9" t="s">
        <v>119</v>
      </c>
      <c r="B60" s="37"/>
      <c r="C60" s="336">
        <f t="shared" si="50"/>
        <v>0</v>
      </c>
      <c r="D60" s="336">
        <v>0</v>
      </c>
      <c r="E60" s="336">
        <v>0</v>
      </c>
      <c r="F60" s="336">
        <v>0</v>
      </c>
      <c r="G60" s="336">
        <v>0</v>
      </c>
      <c r="H60" s="396">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36">
        <f t="shared" si="50"/>
        <v>1.4975089514557515E-3</v>
      </c>
      <c r="D61" s="336">
        <f t="shared" ref="D61:M61" si="56">C61*($N74)</f>
        <v>1.6821503897540919E-3</v>
      </c>
      <c r="E61" s="336">
        <f t="shared" si="56"/>
        <v>1.8895579428751439E-3</v>
      </c>
      <c r="F61" s="336">
        <f t="shared" si="56"/>
        <v>2.1225386512584614E-3</v>
      </c>
      <c r="G61" s="336">
        <f t="shared" si="56"/>
        <v>2.3842456607766362E-3</v>
      </c>
      <c r="H61" s="396">
        <f t="shared" si="53"/>
        <v>3.7827958092944017E-3</v>
      </c>
      <c r="I61" s="116">
        <f t="shared" si="56"/>
        <v>4.2492109571558344E-3</v>
      </c>
      <c r="J61" s="116">
        <f t="shared" si="56"/>
        <v>4.7731346519021122E-3</v>
      </c>
      <c r="K61" s="116">
        <f t="shared" si="56"/>
        <v>5.3616576430081829E-3</v>
      </c>
      <c r="L61" s="116">
        <f t="shared" si="56"/>
        <v>6.0227449626572187E-3</v>
      </c>
      <c r="M61" s="116">
        <f t="shared" si="56"/>
        <v>6.7653437239721843E-3</v>
      </c>
      <c r="N61" s="178">
        <f>M61*($N74)</f>
        <v>7.5995042106674696E-3</v>
      </c>
      <c r="O61" s="116">
        <f t="shared" ref="O61:W61" si="57">N61*$X74</f>
        <v>7.6952197471782651E-3</v>
      </c>
      <c r="P61" s="116">
        <f t="shared" si="57"/>
        <v>7.7921408181128313E-3</v>
      </c>
      <c r="Q61" s="116">
        <f t="shared" si="57"/>
        <v>7.890282607142491E-3</v>
      </c>
      <c r="R61" s="116">
        <f t="shared" si="57"/>
        <v>7.989660489176471E-3</v>
      </c>
      <c r="S61" s="116">
        <f t="shared" si="57"/>
        <v>8.0902900327705345E-3</v>
      </c>
      <c r="T61" s="116">
        <f t="shared" si="57"/>
        <v>8.1921870025659579E-3</v>
      </c>
      <c r="U61" s="116">
        <f t="shared" si="57"/>
        <v>8.2953673617592195E-3</v>
      </c>
      <c r="V61" s="116">
        <f t="shared" si="57"/>
        <v>8.3998472746027956E-3</v>
      </c>
      <c r="W61" s="116">
        <f t="shared" si="57"/>
        <v>8.5056431089374582E-3</v>
      </c>
      <c r="X61" s="178">
        <f t="shared" si="47"/>
        <v>8.6127714387564669E-3</v>
      </c>
      <c r="Y61" s="173">
        <f t="shared" si="55"/>
        <v>8.7538888849659647E-3</v>
      </c>
      <c r="Z61" s="173">
        <f t="shared" si="55"/>
        <v>8.8973184944281733E-3</v>
      </c>
      <c r="AA61" s="173">
        <f t="shared" si="55"/>
        <v>9.0430981511825988E-3</v>
      </c>
      <c r="AB61" s="173">
        <f t="shared" si="55"/>
        <v>9.1912663599863567E-3</v>
      </c>
      <c r="AC61" s="173">
        <f t="shared" si="55"/>
        <v>9.3418622564844303E-3</v>
      </c>
      <c r="AD61" s="173">
        <f t="shared" si="55"/>
        <v>9.4949256175465586E-3</v>
      </c>
      <c r="AE61" s="173">
        <f t="shared" si="55"/>
        <v>9.6504968717734969E-3</v>
      </c>
      <c r="AF61" s="173">
        <f t="shared" si="55"/>
        <v>9.808617110175416E-3</v>
      </c>
      <c r="AG61" s="173">
        <f t="shared" si="55"/>
        <v>9.9693280970252641E-3</v>
      </c>
      <c r="AH61" s="178">
        <f t="shared" si="49"/>
        <v>1.0132672280889961E-2</v>
      </c>
      <c r="AI61" s="127"/>
    </row>
    <row r="62" spans="1:35">
      <c r="A62" s="9" t="s">
        <v>347</v>
      </c>
      <c r="B62" s="37"/>
      <c r="C62" s="339">
        <f t="shared" si="50"/>
        <v>0</v>
      </c>
      <c r="D62" s="339">
        <f t="shared" ref="D62:N62" si="58">C62*($N75)</f>
        <v>0</v>
      </c>
      <c r="E62" s="339">
        <f t="shared" si="58"/>
        <v>0</v>
      </c>
      <c r="F62" s="339">
        <f t="shared" si="58"/>
        <v>0</v>
      </c>
      <c r="G62" s="339">
        <f t="shared" si="58"/>
        <v>0</v>
      </c>
      <c r="H62" s="396">
        <f t="shared" si="53"/>
        <v>1.8926478335009039E-7</v>
      </c>
      <c r="I62" s="116">
        <f t="shared" si="58"/>
        <v>2.0502573457572164E-7</v>
      </c>
      <c r="J62" s="116">
        <f t="shared" si="58"/>
        <v>2.2209917288500244E-7</v>
      </c>
      <c r="K62" s="116">
        <f t="shared" si="58"/>
        <v>2.4059439512937827E-7</v>
      </c>
      <c r="L62" s="116">
        <f t="shared" si="58"/>
        <v>2.6062979981309158E-7</v>
      </c>
      <c r="M62" s="116">
        <f t="shared" si="58"/>
        <v>2.8233364502977866E-7</v>
      </c>
      <c r="N62" s="178">
        <f t="shared" si="58"/>
        <v>3.0584486951594193E-7</v>
      </c>
      <c r="O62" s="116">
        <f t="shared" ref="O62:W62" si="59">N62*$X75</f>
        <v>3.0969697683285088E-7</v>
      </c>
      <c r="P62" s="116">
        <f t="shared" si="59"/>
        <v>3.1359760133039614E-7</v>
      </c>
      <c r="Q62" s="116">
        <f t="shared" si="59"/>
        <v>3.1754735408106949E-7</v>
      </c>
      <c r="R62" s="116">
        <f t="shared" si="59"/>
        <v>3.2154685385380316E-7</v>
      </c>
      <c r="S62" s="116">
        <f t="shared" si="59"/>
        <v>3.2559672721090627E-7</v>
      </c>
      <c r="T62" s="116">
        <f t="shared" si="59"/>
        <v>3.2969760860622217E-7</v>
      </c>
      <c r="U62" s="116">
        <f t="shared" si="59"/>
        <v>3.3385014048452203E-7</v>
      </c>
      <c r="V62" s="116">
        <f t="shared" si="59"/>
        <v>3.3805497338215048E-7</v>
      </c>
      <c r="W62" s="116">
        <f t="shared" si="59"/>
        <v>3.4231276602893859E-7</v>
      </c>
      <c r="X62" s="178">
        <f t="shared" si="47"/>
        <v>3.4662418545140085E-7</v>
      </c>
      <c r="Y62" s="173">
        <f t="shared" si="55"/>
        <v>3.523035094870113E-7</v>
      </c>
      <c r="Z62" s="173">
        <f t="shared" si="55"/>
        <v>3.580758873914955E-7</v>
      </c>
      <c r="AA62" s="173">
        <f t="shared" si="55"/>
        <v>3.6394284382209397E-7</v>
      </c>
      <c r="AB62" s="173">
        <f t="shared" si="55"/>
        <v>3.6990592841705812E-7</v>
      </c>
      <c r="AC62" s="173">
        <f t="shared" si="55"/>
        <v>3.7596671620495571E-7</v>
      </c>
      <c r="AD62" s="173">
        <f t="shared" si="55"/>
        <v>3.8212680802068307E-7</v>
      </c>
      <c r="AE62" s="173">
        <f t="shared" si="55"/>
        <v>3.8838783092829333E-7</v>
      </c>
      <c r="AF62" s="173">
        <f t="shared" si="55"/>
        <v>3.9475143865075253E-7</v>
      </c>
      <c r="AG62" s="173">
        <f t="shared" si="55"/>
        <v>4.0121931200673723E-7</v>
      </c>
      <c r="AH62" s="178">
        <f t="shared" si="49"/>
        <v>4.0779315935458922E-7</v>
      </c>
      <c r="AI62" s="127"/>
    </row>
    <row r="63" spans="1:35">
      <c r="A63" s="9" t="s">
        <v>348</v>
      </c>
      <c r="B63" s="37"/>
      <c r="C63" s="339">
        <f t="shared" si="50"/>
        <v>0</v>
      </c>
      <c r="D63" s="339">
        <f t="shared" ref="D63:N63" si="60">C63*($N76)</f>
        <v>0</v>
      </c>
      <c r="E63" s="339">
        <f t="shared" si="60"/>
        <v>0</v>
      </c>
      <c r="F63" s="339">
        <f t="shared" si="60"/>
        <v>0</v>
      </c>
      <c r="G63" s="339">
        <f t="shared" si="60"/>
        <v>0</v>
      </c>
      <c r="H63" s="396">
        <f t="shared" si="53"/>
        <v>9.4632391675045196E-8</v>
      </c>
      <c r="I63" s="116">
        <f t="shared" si="60"/>
        <v>1.0251286728786082E-7</v>
      </c>
      <c r="J63" s="116">
        <f t="shared" si="60"/>
        <v>1.1104958644250122E-7</v>
      </c>
      <c r="K63" s="116">
        <f t="shared" si="60"/>
        <v>1.2029719756468913E-7</v>
      </c>
      <c r="L63" s="116">
        <f t="shared" si="60"/>
        <v>1.3031489990654579E-7</v>
      </c>
      <c r="M63" s="116">
        <f t="shared" si="60"/>
        <v>1.4116682251488933E-7</v>
      </c>
      <c r="N63" s="178">
        <f t="shared" si="60"/>
        <v>1.5292243475797096E-7</v>
      </c>
      <c r="O63" s="116">
        <f t="shared" ref="O63:W63" si="61">N63*$X76</f>
        <v>1.5484848841642544E-7</v>
      </c>
      <c r="P63" s="116">
        <f t="shared" si="61"/>
        <v>1.5679880066519807E-7</v>
      </c>
      <c r="Q63" s="116">
        <f t="shared" si="61"/>
        <v>1.5877367704053474E-7</v>
      </c>
      <c r="R63" s="116">
        <f t="shared" si="61"/>
        <v>1.6077342692690158E-7</v>
      </c>
      <c r="S63" s="116">
        <f t="shared" si="61"/>
        <v>1.6279836360545314E-7</v>
      </c>
      <c r="T63" s="116">
        <f t="shared" si="61"/>
        <v>1.6484880430311108E-7</v>
      </c>
      <c r="U63" s="116">
        <f t="shared" si="61"/>
        <v>1.6692507024226101E-7</v>
      </c>
      <c r="V63" s="116">
        <f t="shared" si="61"/>
        <v>1.6902748669107524E-7</v>
      </c>
      <c r="W63" s="116">
        <f t="shared" si="61"/>
        <v>1.711563830144693E-7</v>
      </c>
      <c r="X63" s="178">
        <f t="shared" si="47"/>
        <v>1.7331209272570043E-7</v>
      </c>
      <c r="Y63" s="173">
        <f t="shared" si="55"/>
        <v>1.7615175474350565E-7</v>
      </c>
      <c r="Z63" s="173">
        <f t="shared" si="55"/>
        <v>1.7903794369574775E-7</v>
      </c>
      <c r="AA63" s="173">
        <f t="shared" si="55"/>
        <v>1.8197142191104699E-7</v>
      </c>
      <c r="AB63" s="173">
        <f t="shared" si="55"/>
        <v>1.8495296420852906E-7</v>
      </c>
      <c r="AC63" s="173">
        <f t="shared" si="55"/>
        <v>1.8798335810247786E-7</v>
      </c>
      <c r="AD63" s="173">
        <f t="shared" si="55"/>
        <v>1.9106340401034154E-7</v>
      </c>
      <c r="AE63" s="173">
        <f t="shared" si="55"/>
        <v>1.9419391546414667E-7</v>
      </c>
      <c r="AF63" s="173">
        <f t="shared" si="55"/>
        <v>1.9737571932537626E-7</v>
      </c>
      <c r="AG63" s="173">
        <f t="shared" si="55"/>
        <v>2.0060965600336861E-7</v>
      </c>
      <c r="AH63" s="178">
        <f t="shared" si="49"/>
        <v>2.0389657967729461E-7</v>
      </c>
      <c r="AI63" s="127"/>
    </row>
    <row r="64" spans="1:35">
      <c r="A64" s="9" t="s">
        <v>344</v>
      </c>
      <c r="B64" s="37"/>
      <c r="C64" s="336">
        <f t="shared" si="50"/>
        <v>9.5994163554855869E-8</v>
      </c>
      <c r="D64" s="336">
        <f t="shared" ref="D64:N64" si="62">C64*($N77)</f>
        <v>1.0398804019134968E-7</v>
      </c>
      <c r="E64" s="336">
        <f t="shared" si="62"/>
        <v>1.1264760379581177E-7</v>
      </c>
      <c r="F64" s="336">
        <f t="shared" si="62"/>
        <v>1.2202828919160425E-7</v>
      </c>
      <c r="G64" s="336">
        <f t="shared" si="62"/>
        <v>1.3219014751544535E-7</v>
      </c>
      <c r="H64" s="396">
        <f t="shared" si="53"/>
        <v>9.4632391675045196E-8</v>
      </c>
      <c r="I64" s="116">
        <f t="shared" si="62"/>
        <v>1.0251286728786082E-7</v>
      </c>
      <c r="J64" s="116">
        <f t="shared" si="62"/>
        <v>1.1104958644250122E-7</v>
      </c>
      <c r="K64" s="116">
        <f t="shared" si="62"/>
        <v>1.2029719756468913E-7</v>
      </c>
      <c r="L64" s="116">
        <f t="shared" si="62"/>
        <v>1.3031489990654579E-7</v>
      </c>
      <c r="M64" s="116">
        <f t="shared" si="62"/>
        <v>1.4116682251488933E-7</v>
      </c>
      <c r="N64" s="178">
        <f t="shared" si="62"/>
        <v>1.5292243475797096E-7</v>
      </c>
      <c r="O64" s="116">
        <f t="shared" ref="O64:W64" si="63">N64*$X77</f>
        <v>1.5484848841642544E-7</v>
      </c>
      <c r="P64" s="116">
        <f t="shared" si="63"/>
        <v>1.5679880066519807E-7</v>
      </c>
      <c r="Q64" s="116">
        <f t="shared" si="63"/>
        <v>1.5877367704053474E-7</v>
      </c>
      <c r="R64" s="116">
        <f t="shared" si="63"/>
        <v>1.6077342692690158E-7</v>
      </c>
      <c r="S64" s="116">
        <f t="shared" si="63"/>
        <v>1.6279836360545314E-7</v>
      </c>
      <c r="T64" s="116">
        <f t="shared" si="63"/>
        <v>1.6484880430311108E-7</v>
      </c>
      <c r="U64" s="116">
        <f t="shared" si="63"/>
        <v>1.6692507024226101E-7</v>
      </c>
      <c r="V64" s="116">
        <f t="shared" si="63"/>
        <v>1.6902748669107524E-7</v>
      </c>
      <c r="W64" s="116">
        <f t="shared" si="63"/>
        <v>1.711563830144693E-7</v>
      </c>
      <c r="X64" s="178">
        <f t="shared" si="47"/>
        <v>1.7331209272570043E-7</v>
      </c>
      <c r="Y64" s="173">
        <f t="shared" si="55"/>
        <v>1.7615175474350565E-7</v>
      </c>
      <c r="Z64" s="173">
        <f t="shared" si="55"/>
        <v>1.7903794369574775E-7</v>
      </c>
      <c r="AA64" s="173">
        <f t="shared" si="55"/>
        <v>1.8197142191104699E-7</v>
      </c>
      <c r="AB64" s="173">
        <f t="shared" si="55"/>
        <v>1.8495296420852906E-7</v>
      </c>
      <c r="AC64" s="173">
        <f t="shared" si="55"/>
        <v>1.8798335810247786E-7</v>
      </c>
      <c r="AD64" s="173">
        <f t="shared" si="55"/>
        <v>1.9106340401034154E-7</v>
      </c>
      <c r="AE64" s="173">
        <f t="shared" si="55"/>
        <v>1.9419391546414667E-7</v>
      </c>
      <c r="AF64" s="173">
        <f t="shared" si="55"/>
        <v>1.9737571932537626E-7</v>
      </c>
      <c r="AG64" s="173">
        <f t="shared" si="55"/>
        <v>2.0060965600336861E-7</v>
      </c>
      <c r="AH64" s="178">
        <f t="shared" si="49"/>
        <v>2.0389657967729461E-7</v>
      </c>
      <c r="AI64" s="127"/>
    </row>
    <row r="65" spans="1:35">
      <c r="A65" s="9" t="s">
        <v>120</v>
      </c>
      <c r="B65" s="37"/>
      <c r="C65" s="336">
        <f t="shared" si="50"/>
        <v>0</v>
      </c>
      <c r="D65" s="336">
        <v>0</v>
      </c>
      <c r="E65" s="336">
        <v>0</v>
      </c>
      <c r="F65" s="336">
        <v>0</v>
      </c>
      <c r="G65" s="336">
        <v>0</v>
      </c>
      <c r="H65" s="396">
        <f t="shared" si="53"/>
        <v>9.4632391675045205E-6</v>
      </c>
      <c r="I65" s="173">
        <v>0</v>
      </c>
      <c r="J65" s="173">
        <v>0</v>
      </c>
      <c r="K65" s="173">
        <v>0</v>
      </c>
      <c r="L65" s="173">
        <v>0</v>
      </c>
      <c r="M65" s="173">
        <v>0</v>
      </c>
      <c r="N65" s="178">
        <v>0</v>
      </c>
      <c r="O65" s="116">
        <f t="shared" ref="O65:AG65" si="64">O41/O$49</f>
        <v>7.2081947304367575E-5</v>
      </c>
      <c r="P65" s="116">
        <f t="shared" si="64"/>
        <v>8.0066177278274013E-5</v>
      </c>
      <c r="Q65" s="116">
        <f t="shared" si="64"/>
        <v>8.8114836658453351E-5</v>
      </c>
      <c r="R65" s="116">
        <f t="shared" si="64"/>
        <v>9.6482403864098389E-5</v>
      </c>
      <c r="S65" s="116">
        <f t="shared" si="64"/>
        <v>1.0458689930489876E-4</v>
      </c>
      <c r="T65" s="116">
        <f t="shared" si="64"/>
        <v>1.1207855598777796E-4</v>
      </c>
      <c r="U65" s="116">
        <f t="shared" si="64"/>
        <v>1.1999516654426906E-4</v>
      </c>
      <c r="V65" s="116">
        <f t="shared" si="64"/>
        <v>1.280577813047274E-4</v>
      </c>
      <c r="W65" s="116">
        <f t="shared" si="64"/>
        <v>1.3499793630840633E-4</v>
      </c>
      <c r="X65" s="178">
        <f t="shared" si="47"/>
        <v>1.4236715660387637E-4</v>
      </c>
      <c r="Y65" s="173">
        <f t="shared" si="64"/>
        <v>1.5050671187426869E-4</v>
      </c>
      <c r="Z65" s="173">
        <f t="shared" si="64"/>
        <v>1.5767197161887663E-4</v>
      </c>
      <c r="AA65" s="173">
        <f t="shared" si="64"/>
        <v>1.6530034047980004E-4</v>
      </c>
      <c r="AB65" s="173">
        <f t="shared" si="64"/>
        <v>1.7313407562877988E-4</v>
      </c>
      <c r="AC65" s="173">
        <f t="shared" si="64"/>
        <v>1.807192067528738E-4</v>
      </c>
      <c r="AD65" s="173">
        <f t="shared" si="64"/>
        <v>1.8803804853371667E-4</v>
      </c>
      <c r="AE65" s="173">
        <f t="shared" si="64"/>
        <v>1.948799039129898E-4</v>
      </c>
      <c r="AF65" s="173">
        <f t="shared" si="64"/>
        <v>2.0201260110717128E-4</v>
      </c>
      <c r="AG65" s="173">
        <f t="shared" si="64"/>
        <v>2.0788527642977479E-4</v>
      </c>
      <c r="AH65" s="178">
        <f t="shared" si="49"/>
        <v>2.1426587307321807E-4</v>
      </c>
      <c r="AI65" s="127"/>
    </row>
    <row r="66" spans="1:35">
      <c r="A66" s="9" t="s">
        <v>53</v>
      </c>
      <c r="B66" s="37"/>
      <c r="C66" s="336">
        <f>C42/C$49</f>
        <v>3.4289115221794515E-2</v>
      </c>
      <c r="D66" s="336">
        <f t="shared" ref="D66:N66" si="65">C66*($N79)</f>
        <v>3.7795986264627407E-2</v>
      </c>
      <c r="E66" s="336">
        <f t="shared" si="65"/>
        <v>4.1661517612093739E-2</v>
      </c>
      <c r="F66" s="336">
        <f t="shared" si="65"/>
        <v>4.5922390742510949E-2</v>
      </c>
      <c r="G66" s="336">
        <f t="shared" si="65"/>
        <v>5.061903868081085E-2</v>
      </c>
      <c r="H66" s="396">
        <f t="shared" si="53"/>
        <v>6.1203243808377959E-2</v>
      </c>
      <c r="I66" s="116">
        <f t="shared" si="65"/>
        <v>6.746271950644496E-2</v>
      </c>
      <c r="J66" s="116">
        <f t="shared" si="65"/>
        <v>7.4362374279617255E-2</v>
      </c>
      <c r="K66" s="116">
        <f t="shared" si="65"/>
        <v>8.1967681542597814E-2</v>
      </c>
      <c r="L66" s="116">
        <f t="shared" si="65"/>
        <v>9.0350810911511314E-2</v>
      </c>
      <c r="M66" s="116">
        <f t="shared" si="65"/>
        <v>9.9591313048488492E-2</v>
      </c>
      <c r="N66" s="178">
        <f t="shared" si="65"/>
        <v>0.10977687454776744</v>
      </c>
      <c r="O66" s="116">
        <f t="shared" ref="O66:W66" si="66">N66*$X79</f>
        <v>0.11115951111885698</v>
      </c>
      <c r="P66" s="116">
        <f t="shared" si="66"/>
        <v>0.11255956195771094</v>
      </c>
      <c r="Q66" s="116">
        <f t="shared" si="66"/>
        <v>0.1139772463965299</v>
      </c>
      <c r="R66" s="116">
        <f t="shared" si="66"/>
        <v>0.11541278652999722</v>
      </c>
      <c r="S66" s="116">
        <f t="shared" si="66"/>
        <v>0.11686640725007237</v>
      </c>
      <c r="T66" s="116">
        <f t="shared" si="66"/>
        <v>0.11833833628122259</v>
      </c>
      <c r="U66" s="116">
        <f t="shared" si="66"/>
        <v>0.11982880421609822</v>
      </c>
      <c r="V66" s="116">
        <f t="shared" si="66"/>
        <v>0.12133804455165736</v>
      </c>
      <c r="W66" s="116">
        <f t="shared" si="66"/>
        <v>0.1228662937257456</v>
      </c>
      <c r="X66" s="178">
        <f t="shared" si="47"/>
        <v>0.12441379115413646</v>
      </c>
      <c r="Y66" s="173">
        <f t="shared" si="55"/>
        <v>0.12645227047589219</v>
      </c>
      <c r="Z66" s="173">
        <f t="shared" si="55"/>
        <v>0.12852414961535846</v>
      </c>
      <c r="AA66" s="173">
        <f t="shared" si="55"/>
        <v>0.13062997581763666</v>
      </c>
      <c r="AB66" s="173">
        <f t="shared" si="55"/>
        <v>0.13277030529426037</v>
      </c>
      <c r="AC66" s="173">
        <f t="shared" si="55"/>
        <v>0.13494570337010742</v>
      </c>
      <c r="AD66" s="173">
        <f t="shared" si="55"/>
        <v>0.1371567446327191</v>
      </c>
      <c r="AE66" s="173">
        <f t="shared" si="55"/>
        <v>0.1394040130840658</v>
      </c>
      <c r="AF66" s="173">
        <f t="shared" si="55"/>
        <v>0.14168810229479947</v>
      </c>
      <c r="AG66" s="173">
        <f t="shared" si="55"/>
        <v>0.1440096155610332</v>
      </c>
      <c r="AH66" s="178">
        <f t="shared" si="49"/>
        <v>0.14636916606368994</v>
      </c>
      <c r="AI66" s="127"/>
    </row>
    <row r="67" spans="1:35" s="1" customFormat="1">
      <c r="A67" s="11" t="s">
        <v>541</v>
      </c>
      <c r="B67" s="36"/>
      <c r="C67" s="340">
        <f t="shared" ref="C67:AG67" si="67">SUM(C58:C66)</f>
        <v>4.8313958511322516E-2</v>
      </c>
      <c r="D67" s="340">
        <f t="shared" si="67"/>
        <v>5.4201170223697095E-2</v>
      </c>
      <c r="E67" s="340">
        <f t="shared" si="67"/>
        <v>6.0854655216161922E-2</v>
      </c>
      <c r="F67" s="340">
        <f t="shared" si="67"/>
        <v>6.8381355351078282E-2</v>
      </c>
      <c r="G67" s="340">
        <f t="shared" si="67"/>
        <v>7.6904132912369499E-2</v>
      </c>
      <c r="H67" s="403">
        <f t="shared" si="67"/>
        <v>7.7375019218485525E-2</v>
      </c>
      <c r="I67" s="85">
        <f t="shared" si="67"/>
        <v>8.6261212798601355E-2</v>
      </c>
      <c r="J67" s="85">
        <f t="shared" si="67"/>
        <v>9.6234856819262027E-2</v>
      </c>
      <c r="K67" s="85">
        <f t="shared" si="67"/>
        <v>0.1074257084179908</v>
      </c>
      <c r="L67" s="85">
        <f t="shared" si="67"/>
        <v>0.11999224150934912</v>
      </c>
      <c r="M67" s="85">
        <f t="shared" si="67"/>
        <v>0.13411502391849511</v>
      </c>
      <c r="N67" s="183">
        <f>SUM(N58:N66)</f>
        <v>0.14999999999999997</v>
      </c>
      <c r="O67" s="85">
        <f t="shared" si="67"/>
        <v>0.15196132762420861</v>
      </c>
      <c r="P67" s="85">
        <f t="shared" si="67"/>
        <v>0.15388235252593813</v>
      </c>
      <c r="Q67" s="85">
        <f t="shared" si="67"/>
        <v>0.15582753654919962</v>
      </c>
      <c r="R67" s="85">
        <f t="shared" si="67"/>
        <v>0.15779743764436521</v>
      </c>
      <c r="S67" s="85">
        <f t="shared" si="67"/>
        <v>0.15979178112601794</v>
      </c>
      <c r="T67" s="85">
        <f t="shared" si="67"/>
        <v>0.1618105283916994</v>
      </c>
      <c r="U67" s="85">
        <f t="shared" si="67"/>
        <v>0.1638550323176842</v>
      </c>
      <c r="V67" s="85">
        <f t="shared" si="67"/>
        <v>0.16592533300641499</v>
      </c>
      <c r="W67" s="85">
        <f t="shared" si="67"/>
        <v>0.16802048506449566</v>
      </c>
      <c r="X67" s="183">
        <f t="shared" si="67"/>
        <v>0.17014236715660386</v>
      </c>
      <c r="Y67" s="85">
        <f t="shared" si="67"/>
        <v>0.17293590117243807</v>
      </c>
      <c r="Z67" s="85">
        <f t="shared" si="67"/>
        <v>0.17577409867098728</v>
      </c>
      <c r="AA67" s="85">
        <f t="shared" si="67"/>
        <v>0.17865914481698017</v>
      </c>
      <c r="AB67" s="85">
        <f t="shared" si="67"/>
        <v>0.18159154187947965</v>
      </c>
      <c r="AC67" s="85">
        <f t="shared" si="67"/>
        <v>0.18457160835261049</v>
      </c>
      <c r="AD67" s="85">
        <f t="shared" si="67"/>
        <v>0.18760011167206964</v>
      </c>
      <c r="AE67" s="85">
        <f t="shared" si="67"/>
        <v>0.19067763912576521</v>
      </c>
      <c r="AF67" s="85">
        <f t="shared" si="67"/>
        <v>0.19380576960160328</v>
      </c>
      <c r="AG67" s="85">
        <f t="shared" si="67"/>
        <v>0.19698377658453486</v>
      </c>
      <c r="AH67" s="183">
        <f>SUM(AH58:AH66)</f>
        <v>0.20021426587307317</v>
      </c>
      <c r="AI67" s="196"/>
    </row>
    <row r="68" spans="1:35" s="252" customFormat="1">
      <c r="A68" s="10" t="s">
        <v>549</v>
      </c>
      <c r="B68" s="37"/>
      <c r="C68" s="332"/>
      <c r="D68" s="332">
        <f>D67/C67-1</f>
        <v>0.12185322614363914</v>
      </c>
      <c r="E68" s="332">
        <f t="shared" ref="E68:W68" si="68">E67/D67-1</f>
        <v>0.12275537529918279</v>
      </c>
      <c r="F68" s="332">
        <f t="shared" si="68"/>
        <v>0.12368322699686263</v>
      </c>
      <c r="G68" s="332">
        <f t="shared" si="68"/>
        <v>0.12463598472908632</v>
      </c>
      <c r="H68" s="284"/>
      <c r="I68" s="284">
        <f t="shared" si="68"/>
        <v>0.1148457689557878</v>
      </c>
      <c r="J68" s="284">
        <f t="shared" si="68"/>
        <v>0.11562142122841079</v>
      </c>
      <c r="K68" s="284">
        <f t="shared" si="68"/>
        <v>0.11628688365740736</v>
      </c>
      <c r="L68" s="284">
        <f t="shared" si="68"/>
        <v>0.1169788244957366</v>
      </c>
      <c r="M68" s="284">
        <f t="shared" si="68"/>
        <v>0.11769746303177131</v>
      </c>
      <c r="N68" s="283">
        <f t="shared" si="68"/>
        <v>0.11844292770031895</v>
      </c>
      <c r="O68" s="284">
        <f t="shared" si="68"/>
        <v>1.3075517494724354E-2</v>
      </c>
      <c r="P68" s="284">
        <f t="shared" si="68"/>
        <v>1.2641538026570087E-2</v>
      </c>
      <c r="Q68" s="284">
        <f t="shared" si="68"/>
        <v>1.2640721897812179E-2</v>
      </c>
      <c r="R68" s="284">
        <f t="shared" si="68"/>
        <v>1.2641546794546432E-2</v>
      </c>
      <c r="S68" s="284">
        <f t="shared" si="68"/>
        <v>1.2638630331548661E-2</v>
      </c>
      <c r="T68" s="284">
        <f t="shared" si="68"/>
        <v>1.2633611387618204E-2</v>
      </c>
      <c r="U68" s="284">
        <f t="shared" si="68"/>
        <v>1.263517242237544E-2</v>
      </c>
      <c r="V68" s="284">
        <f t="shared" si="68"/>
        <v>1.2634953345325828E-2</v>
      </c>
      <c r="W68" s="284">
        <f t="shared" si="68"/>
        <v>1.2627077614481452E-2</v>
      </c>
      <c r="X68" s="284">
        <f>X67/W67-1</f>
        <v>1.2628710667593301E-2</v>
      </c>
      <c r="Y68" s="289">
        <f t="shared" ref="Y68:AG68" si="69">Y67/X67-1</f>
        <v>1.6418803044293773E-2</v>
      </c>
      <c r="Z68" s="289">
        <f t="shared" si="69"/>
        <v>1.6411846697576005E-2</v>
      </c>
      <c r="AA68" s="289">
        <f t="shared" si="69"/>
        <v>1.6413374711100603E-2</v>
      </c>
      <c r="AB68" s="289">
        <f t="shared" si="69"/>
        <v>1.6413361126873527E-2</v>
      </c>
      <c r="AC68" s="289">
        <f t="shared" si="69"/>
        <v>1.6410822014544468E-2</v>
      </c>
      <c r="AD68" s="289">
        <f t="shared" si="69"/>
        <v>1.6408283735998008E-2</v>
      </c>
      <c r="AE68" s="289">
        <f t="shared" si="69"/>
        <v>1.6404720798222083E-2</v>
      </c>
      <c r="AF68" s="289">
        <f t="shared" si="69"/>
        <v>1.6405334627490609E-2</v>
      </c>
      <c r="AG68" s="289">
        <f t="shared" si="69"/>
        <v>1.6397896664606337E-2</v>
      </c>
      <c r="AH68" s="283">
        <f>AH67/AG67-1</f>
        <v>1.6399773344542234E-2</v>
      </c>
      <c r="AI68" s="292"/>
    </row>
    <row r="69" spans="1:35">
      <c r="A69" s="10"/>
      <c r="B69" s="37"/>
      <c r="C69" s="332"/>
      <c r="D69" s="332"/>
      <c r="E69" s="332"/>
      <c r="F69" s="332"/>
      <c r="G69" s="332"/>
      <c r="H69" s="284"/>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79"/>
      <c r="AI69" s="127"/>
    </row>
    <row r="70" spans="1:35">
      <c r="A70" s="11" t="s">
        <v>546</v>
      </c>
      <c r="B70" s="37"/>
      <c r="C70" s="332"/>
      <c r="D70" s="332"/>
      <c r="E70" s="332"/>
      <c r="F70" s="332"/>
      <c r="G70" s="332"/>
      <c r="H70" s="284"/>
      <c r="I70" s="164"/>
      <c r="J70" s="164"/>
      <c r="K70" s="164"/>
      <c r="L70" s="164"/>
      <c r="M70" s="164"/>
      <c r="N70" s="199" t="s">
        <v>712</v>
      </c>
      <c r="O70" s="164"/>
      <c r="P70" s="164"/>
      <c r="Q70" s="164"/>
      <c r="R70" s="164"/>
      <c r="S70" s="164"/>
      <c r="T70" s="164"/>
      <c r="U70" s="164"/>
      <c r="V70" s="164"/>
      <c r="W70" s="164"/>
      <c r="X70" s="199" t="s">
        <v>547</v>
      </c>
      <c r="Y70" s="20"/>
      <c r="Z70" s="20"/>
      <c r="AA70" s="20"/>
      <c r="AB70" s="20"/>
      <c r="AC70" s="20"/>
      <c r="AD70" s="20"/>
      <c r="AE70" s="20"/>
      <c r="AF70" s="20"/>
      <c r="AG70" s="20"/>
      <c r="AH70" s="279" t="s">
        <v>709</v>
      </c>
      <c r="AI70" s="127"/>
    </row>
    <row r="71" spans="1:35">
      <c r="A71" s="9" t="s">
        <v>121</v>
      </c>
      <c r="B71" s="37"/>
      <c r="C71" s="332"/>
      <c r="D71" s="332"/>
      <c r="E71" s="332"/>
      <c r="F71" s="332"/>
      <c r="G71" s="332"/>
      <c r="H71" s="284"/>
      <c r="I71" s="164"/>
      <c r="J71" s="164"/>
      <c r="K71" s="395"/>
      <c r="L71" s="395"/>
      <c r="M71" s="164"/>
      <c r="N71" s="186">
        <f>(N86/H86)^(1/6)</f>
        <v>1.1752733664905768</v>
      </c>
      <c r="O71" s="164"/>
      <c r="P71" s="164"/>
      <c r="Q71" s="164"/>
      <c r="R71" s="164"/>
      <c r="S71" s="164"/>
      <c r="T71" s="164"/>
      <c r="U71" s="164"/>
      <c r="V71" s="164"/>
      <c r="W71" s="164"/>
      <c r="X71" s="186">
        <f>(X86/N86)^(1/10)</f>
        <v>1.0125949711793618</v>
      </c>
      <c r="Y71" s="20"/>
      <c r="Z71" s="20"/>
      <c r="AA71" s="20"/>
      <c r="AB71" s="20"/>
      <c r="AC71" s="20"/>
      <c r="AD71" s="20"/>
      <c r="AE71" s="20"/>
      <c r="AF71" s="20"/>
      <c r="AG71" s="20"/>
      <c r="AH71" s="186">
        <f>(AH86/X86)^(1/10)</f>
        <v>1.0163846732974342</v>
      </c>
      <c r="AI71" s="127"/>
    </row>
    <row r="72" spans="1:35">
      <c r="A72" s="9" t="s">
        <v>50</v>
      </c>
      <c r="B72" s="37"/>
      <c r="C72" s="332"/>
      <c r="D72" s="332"/>
      <c r="E72" s="332"/>
      <c r="F72" s="332"/>
      <c r="G72" s="332"/>
      <c r="H72" s="284"/>
      <c r="I72" s="164"/>
      <c r="J72" s="164"/>
      <c r="K72" s="395"/>
      <c r="L72" s="395"/>
      <c r="M72" s="164"/>
      <c r="N72" s="186">
        <f>(N87/H87)^(1/6)</f>
        <v>1.2270222279112171</v>
      </c>
      <c r="O72" s="164"/>
      <c r="P72" s="164"/>
      <c r="Q72" s="164"/>
      <c r="R72" s="164"/>
      <c r="S72" s="164"/>
      <c r="T72" s="164"/>
      <c r="U72" s="164"/>
      <c r="V72" s="164"/>
      <c r="W72" s="164"/>
      <c r="X72" s="186">
        <f>(X87/N87)^(1/10)</f>
        <v>1.0125949711793618</v>
      </c>
      <c r="Y72" s="20"/>
      <c r="Z72" s="20"/>
      <c r="AA72" s="20"/>
      <c r="AB72" s="20"/>
      <c r="AC72" s="20"/>
      <c r="AD72" s="20"/>
      <c r="AE72" s="20"/>
      <c r="AF72" s="20"/>
      <c r="AG72" s="20"/>
      <c r="AH72" s="186">
        <f>(AH87/X87)^(1/10)</f>
        <v>1.0163846732974342</v>
      </c>
      <c r="AI72" s="127"/>
    </row>
    <row r="73" spans="1:35">
      <c r="A73" s="9" t="s">
        <v>119</v>
      </c>
      <c r="B73" s="37"/>
      <c r="C73" s="332"/>
      <c r="D73" s="332"/>
      <c r="E73" s="332"/>
      <c r="F73" s="332"/>
      <c r="G73" s="332"/>
      <c r="H73" s="284"/>
      <c r="I73" s="164"/>
      <c r="J73" s="164"/>
      <c r="K73" s="395"/>
      <c r="L73" s="395"/>
      <c r="M73" s="164"/>
      <c r="N73" s="186"/>
      <c r="O73" s="164"/>
      <c r="P73" s="164"/>
      <c r="Q73" s="164"/>
      <c r="R73" s="164"/>
      <c r="S73" s="164"/>
      <c r="T73" s="164"/>
      <c r="U73" s="164"/>
      <c r="V73" s="164"/>
      <c r="W73" s="164"/>
      <c r="X73" s="186"/>
      <c r="AH73" s="186"/>
      <c r="AI73" s="127"/>
    </row>
    <row r="74" spans="1:35">
      <c r="A74" s="9" t="s">
        <v>51</v>
      </c>
      <c r="B74" s="37"/>
      <c r="C74" s="332"/>
      <c r="D74" s="332"/>
      <c r="E74" s="332"/>
      <c r="F74" s="332"/>
      <c r="G74" s="332"/>
      <c r="H74" s="284"/>
      <c r="I74" s="164"/>
      <c r="J74" s="164"/>
      <c r="K74" s="395"/>
      <c r="L74" s="395"/>
      <c r="M74" s="164"/>
      <c r="N74" s="179">
        <f>(N89/H89)^(1/6)</f>
        <v>1.1232990548195707</v>
      </c>
      <c r="O74" s="164"/>
      <c r="P74" s="164"/>
      <c r="Q74" s="164"/>
      <c r="R74" s="164"/>
      <c r="S74" s="164"/>
      <c r="T74" s="164"/>
      <c r="U74" s="164"/>
      <c r="V74" s="164"/>
      <c r="W74" s="164"/>
      <c r="X74" s="186">
        <f>(X89/N89)^(1/10)</f>
        <v>1.0125949711793618</v>
      </c>
      <c r="AH74" s="186">
        <f>(AH89/X89)^(1/10)</f>
        <v>1.0163846732974342</v>
      </c>
      <c r="AI74" s="127"/>
    </row>
    <row r="75" spans="1:35">
      <c r="A75" s="9" t="s">
        <v>347</v>
      </c>
      <c r="B75" s="37"/>
      <c r="C75" s="332"/>
      <c r="D75" s="332"/>
      <c r="E75" s="332"/>
      <c r="F75" s="332"/>
      <c r="G75" s="332"/>
      <c r="H75" s="284"/>
      <c r="I75" s="164"/>
      <c r="J75" s="164"/>
      <c r="K75" s="395"/>
      <c r="L75" s="395"/>
      <c r="M75" s="164"/>
      <c r="N75" s="179">
        <f>(N90/H90)^(1/6)</f>
        <v>1.0832746110853471</v>
      </c>
      <c r="O75" s="164"/>
      <c r="P75" s="164"/>
      <c r="Q75" s="164"/>
      <c r="R75" s="164"/>
      <c r="S75" s="164"/>
      <c r="T75" s="164"/>
      <c r="U75" s="164"/>
      <c r="V75" s="164"/>
      <c r="W75" s="164"/>
      <c r="X75" s="186">
        <f>(X90/N90)^(1/10)</f>
        <v>1.0125949711793618</v>
      </c>
      <c r="AH75" s="186">
        <f>(AH90/X90)^(1/10)</f>
        <v>1.0163846732974342</v>
      </c>
      <c r="AI75" s="127"/>
    </row>
    <row r="76" spans="1:35">
      <c r="A76" s="9" t="s">
        <v>348</v>
      </c>
      <c r="B76" s="37"/>
      <c r="C76" s="332"/>
      <c r="D76" s="332"/>
      <c r="E76" s="332"/>
      <c r="F76" s="332"/>
      <c r="G76" s="332"/>
      <c r="H76" s="284"/>
      <c r="I76" s="164"/>
      <c r="J76" s="164"/>
      <c r="K76" s="395"/>
      <c r="L76" s="395"/>
      <c r="M76" s="164"/>
      <c r="N76" s="179">
        <f>(N91/H91)^(1/6)</f>
        <v>1.0832746110853471</v>
      </c>
      <c r="O76" s="164"/>
      <c r="P76" s="164"/>
      <c r="Q76" s="164"/>
      <c r="R76" s="164"/>
      <c r="S76" s="164"/>
      <c r="T76" s="164"/>
      <c r="U76" s="164"/>
      <c r="V76" s="164"/>
      <c r="W76" s="164"/>
      <c r="X76" s="186">
        <f>(X91/N91)^(1/10)</f>
        <v>1.0125949711793618</v>
      </c>
      <c r="AH76" s="186">
        <f>(AH91/X91)^(1/10)</f>
        <v>1.0163846732974342</v>
      </c>
      <c r="AI76" s="127"/>
    </row>
    <row r="77" spans="1:35">
      <c r="A77" s="9" t="s">
        <v>344</v>
      </c>
      <c r="B77" s="37"/>
      <c r="C77" s="332"/>
      <c r="D77" s="332"/>
      <c r="E77" s="332"/>
      <c r="F77" s="332"/>
      <c r="G77" s="332"/>
      <c r="H77" s="284"/>
      <c r="I77" s="164"/>
      <c r="J77" s="164"/>
      <c r="K77" s="395"/>
      <c r="L77" s="395"/>
      <c r="M77" s="164"/>
      <c r="N77" s="179">
        <f>(N92/H92)^(1/6)</f>
        <v>1.0832746110853471</v>
      </c>
      <c r="O77" s="164"/>
      <c r="P77" s="164"/>
      <c r="Q77" s="164"/>
      <c r="R77" s="164"/>
      <c r="S77" s="164"/>
      <c r="T77" s="164"/>
      <c r="U77" s="164"/>
      <c r="V77" s="164"/>
      <c r="W77" s="164"/>
      <c r="X77" s="186">
        <f>(X92/N92)^(1/10)</f>
        <v>1.0125949711793618</v>
      </c>
      <c r="AH77" s="186">
        <f>(AH92/X92)^(1/10)</f>
        <v>1.0163846732974342</v>
      </c>
      <c r="AI77" s="127"/>
    </row>
    <row r="78" spans="1:35">
      <c r="A78" s="9" t="s">
        <v>120</v>
      </c>
      <c r="B78" s="37"/>
      <c r="C78" s="332"/>
      <c r="D78" s="332"/>
      <c r="E78" s="332"/>
      <c r="F78" s="332"/>
      <c r="G78" s="332"/>
      <c r="H78" s="284"/>
      <c r="I78" s="164"/>
      <c r="J78" s="164"/>
      <c r="K78" s="395"/>
      <c r="L78" s="395"/>
      <c r="M78" s="164"/>
      <c r="N78" s="186">
        <f t="shared" ref="N78:N79" si="70">(N93/H93)^(1/6)</f>
        <v>1.375677291622583</v>
      </c>
      <c r="O78" s="164"/>
      <c r="P78" s="164"/>
      <c r="Q78" s="164"/>
      <c r="R78" s="164"/>
      <c r="S78" s="164"/>
      <c r="T78" s="164"/>
      <c r="U78" s="164"/>
      <c r="V78" s="164"/>
      <c r="W78" s="164"/>
      <c r="X78" s="186">
        <f t="shared" ref="X78:X79" si="71">(X93/N93)^(1/10)</f>
        <v>1.0829965133717028</v>
      </c>
      <c r="AH78" s="186">
        <f t="shared" ref="AH78:AH79" si="72">(AH93/X93)^(1/10)</f>
        <v>1.04172795656045</v>
      </c>
      <c r="AI78" s="127"/>
    </row>
    <row r="79" spans="1:35">
      <c r="A79" s="9" t="s">
        <v>53</v>
      </c>
      <c r="B79" s="37"/>
      <c r="C79" s="332"/>
      <c r="D79" s="332"/>
      <c r="E79" s="332"/>
      <c r="F79" s="332"/>
      <c r="G79" s="332"/>
      <c r="H79" s="284"/>
      <c r="I79" s="164"/>
      <c r="J79" s="164"/>
      <c r="K79" s="395"/>
      <c r="L79" s="395"/>
      <c r="M79" s="164"/>
      <c r="N79" s="186">
        <f t="shared" si="70"/>
        <v>1.1022735938255965</v>
      </c>
      <c r="O79" s="164"/>
      <c r="P79" s="164"/>
      <c r="Q79" s="164"/>
      <c r="R79" s="164"/>
      <c r="S79" s="164"/>
      <c r="T79" s="164"/>
      <c r="U79" s="164"/>
      <c r="V79" s="164"/>
      <c r="W79" s="164"/>
      <c r="X79" s="186">
        <f t="shared" si="71"/>
        <v>1.0125949711793618</v>
      </c>
      <c r="AH79" s="186">
        <f t="shared" si="72"/>
        <v>1.0163846732974342</v>
      </c>
      <c r="AI79" s="127"/>
    </row>
    <row r="80" spans="1:35">
      <c r="A80" s="10"/>
      <c r="B80" s="37"/>
      <c r="C80" s="332"/>
      <c r="D80" s="332"/>
      <c r="E80" s="332"/>
      <c r="F80" s="332"/>
      <c r="G80" s="332"/>
      <c r="H80" s="284"/>
      <c r="I80" s="164"/>
      <c r="J80" s="164"/>
      <c r="K80" s="164"/>
      <c r="L80" s="164"/>
      <c r="M80" s="164"/>
      <c r="N80" s="180"/>
      <c r="O80" s="164"/>
      <c r="P80" s="164"/>
      <c r="Q80" s="164"/>
      <c r="R80" s="164"/>
      <c r="S80" s="164"/>
      <c r="T80" s="164"/>
      <c r="U80" s="164"/>
      <c r="V80" s="164"/>
      <c r="W80" s="164"/>
      <c r="X80" s="185"/>
      <c r="AI80" s="127"/>
    </row>
    <row r="81" spans="1:35">
      <c r="A81" s="1" t="s">
        <v>548</v>
      </c>
      <c r="B81" s="37"/>
      <c r="C81" s="332"/>
      <c r="D81" s="332"/>
      <c r="E81" s="332"/>
      <c r="F81" s="332"/>
      <c r="G81" s="332"/>
      <c r="H81" s="284"/>
      <c r="I81" s="164"/>
      <c r="J81" s="164"/>
      <c r="K81" s="164"/>
      <c r="L81" s="164"/>
      <c r="M81" s="164"/>
      <c r="N81" s="184" t="s">
        <v>0</v>
      </c>
      <c r="O81" s="164"/>
      <c r="P81" s="164"/>
      <c r="Q81" s="164"/>
      <c r="R81" s="164"/>
      <c r="S81" s="164"/>
      <c r="T81" s="164"/>
      <c r="U81" s="164"/>
      <c r="V81" s="164"/>
      <c r="W81" s="164"/>
      <c r="X81" s="185"/>
      <c r="AI81" s="127"/>
    </row>
    <row r="82" spans="1:35">
      <c r="A82" s="9" t="s">
        <v>282</v>
      </c>
      <c r="B82" s="37"/>
      <c r="C82" s="332"/>
      <c r="D82" s="332"/>
      <c r="E82" s="332"/>
      <c r="F82" s="332"/>
      <c r="G82" s="332"/>
      <c r="H82" s="284"/>
      <c r="I82" s="164"/>
      <c r="J82" s="164"/>
      <c r="K82" s="164"/>
      <c r="L82" s="164"/>
      <c r="M82" s="164"/>
      <c r="N82" s="185" t="s">
        <v>0</v>
      </c>
      <c r="O82" s="164"/>
      <c r="P82" s="164"/>
      <c r="Q82" s="164"/>
      <c r="R82" s="164"/>
      <c r="S82" s="164"/>
      <c r="T82" s="164"/>
      <c r="U82" s="164"/>
      <c r="V82" s="164"/>
      <c r="W82" s="164"/>
      <c r="X82" s="185"/>
      <c r="AI82" s="127"/>
    </row>
    <row r="83" spans="1:35">
      <c r="A83" s="20" t="s">
        <v>122</v>
      </c>
      <c r="B83" s="37"/>
      <c r="C83" s="332"/>
      <c r="D83" s="332"/>
      <c r="E83" s="332"/>
      <c r="F83" s="332"/>
      <c r="G83" s="332"/>
      <c r="H83" s="284"/>
      <c r="I83" s="164"/>
      <c r="J83" s="164"/>
      <c r="K83" s="164"/>
      <c r="L83" s="164"/>
      <c r="M83" s="164"/>
      <c r="N83" s="180"/>
      <c r="O83" s="164"/>
      <c r="P83" s="164"/>
      <c r="Q83" s="164"/>
      <c r="R83" s="164"/>
      <c r="S83" s="164"/>
      <c r="T83" s="164"/>
      <c r="U83" s="164"/>
      <c r="V83" s="164"/>
      <c r="W83" s="164"/>
      <c r="X83" s="185"/>
      <c r="AI83" s="127"/>
    </row>
    <row r="84" spans="1:35">
      <c r="A84" s="9" t="s">
        <v>49</v>
      </c>
      <c r="B84" s="37"/>
      <c r="C84" s="336">
        <f t="shared" ref="C84:AH84" si="73">C31/C$49</f>
        <v>0.70011413706046677</v>
      </c>
      <c r="D84" s="336">
        <f t="shared" si="73"/>
        <v>0.69764141011893976</v>
      </c>
      <c r="E84" s="336">
        <f t="shared" si="73"/>
        <v>0.69516868317741276</v>
      </c>
      <c r="F84" s="336">
        <f t="shared" si="73"/>
        <v>0.69269595623588565</v>
      </c>
      <c r="G84" s="336">
        <f t="shared" si="73"/>
        <v>0.69022322929435875</v>
      </c>
      <c r="H84" s="396">
        <f t="shared" si="73"/>
        <v>0.66658965896122035</v>
      </c>
      <c r="I84" s="116">
        <f t="shared" si="73"/>
        <v>0.66764373925162857</v>
      </c>
      <c r="J84" s="116">
        <f t="shared" si="73"/>
        <v>0.66869781954203678</v>
      </c>
      <c r="K84" s="116">
        <f t="shared" si="73"/>
        <v>0.66975189983244499</v>
      </c>
      <c r="L84" s="116">
        <f t="shared" si="73"/>
        <v>0.6708059801228532</v>
      </c>
      <c r="M84" s="116">
        <f t="shared" si="73"/>
        <v>0.67186006041326141</v>
      </c>
      <c r="N84" s="178">
        <f t="shared" si="73"/>
        <v>0.67291414070366984</v>
      </c>
      <c r="O84" s="116">
        <f t="shared" si="73"/>
        <v>0.66774541388200381</v>
      </c>
      <c r="P84" s="116">
        <f t="shared" si="73"/>
        <v>0.66257668706033779</v>
      </c>
      <c r="Q84" s="116">
        <f t="shared" si="73"/>
        <v>0.65740796023867176</v>
      </c>
      <c r="R84" s="116">
        <f t="shared" si="73"/>
        <v>0.65223923341700574</v>
      </c>
      <c r="S84" s="116">
        <f t="shared" si="73"/>
        <v>0.64707050659533971</v>
      </c>
      <c r="T84" s="116">
        <f t="shared" si="73"/>
        <v>0.64190177977367369</v>
      </c>
      <c r="U84" s="116">
        <f t="shared" si="73"/>
        <v>0.63673305295200766</v>
      </c>
      <c r="V84" s="116">
        <f t="shared" si="73"/>
        <v>0.63156432613034164</v>
      </c>
      <c r="W84" s="116">
        <f t="shared" si="73"/>
        <v>0.62639559930867561</v>
      </c>
      <c r="X84" s="178">
        <f t="shared" si="73"/>
        <v>0.62122687248700925</v>
      </c>
      <c r="Y84" s="173">
        <f t="shared" si="73"/>
        <v>0.61838826192923202</v>
      </c>
      <c r="Z84" s="173">
        <f t="shared" si="73"/>
        <v>0.61554965137145456</v>
      </c>
      <c r="AA84" s="173">
        <f t="shared" si="73"/>
        <v>0.61271104081367722</v>
      </c>
      <c r="AB84" s="173">
        <f t="shared" si="73"/>
        <v>0.60987243025589988</v>
      </c>
      <c r="AC84" s="173">
        <f t="shared" si="73"/>
        <v>0.60703381969812253</v>
      </c>
      <c r="AD84" s="173">
        <f t="shared" si="73"/>
        <v>0.60419520914034519</v>
      </c>
      <c r="AE84" s="173">
        <f t="shared" si="73"/>
        <v>0.60135659858256796</v>
      </c>
      <c r="AF84" s="173">
        <f t="shared" si="73"/>
        <v>0.5985179880247905</v>
      </c>
      <c r="AG84" s="173">
        <f t="shared" si="73"/>
        <v>0.59567937746701316</v>
      </c>
      <c r="AH84" s="178">
        <f t="shared" si="73"/>
        <v>0.59284076690923582</v>
      </c>
      <c r="AI84" s="127"/>
    </row>
    <row r="85" spans="1:35">
      <c r="A85" s="9" t="s">
        <v>59</v>
      </c>
      <c r="B85" s="37"/>
      <c r="C85" s="336">
        <f t="shared" ref="C85:AH85" si="74">C32/C$49</f>
        <v>6.3682528102291386E-2</v>
      </c>
      <c r="D85" s="336">
        <f t="shared" si="74"/>
        <v>6.4711186554282513E-2</v>
      </c>
      <c r="E85" s="336">
        <f t="shared" si="74"/>
        <v>6.5739845006273639E-2</v>
      </c>
      <c r="F85" s="336">
        <f t="shared" si="74"/>
        <v>6.6768503458264766E-2</v>
      </c>
      <c r="G85" s="336">
        <f t="shared" si="74"/>
        <v>6.7797161910255893E-2</v>
      </c>
      <c r="H85" s="396">
        <f t="shared" si="74"/>
        <v>7.4530020704321215E-2</v>
      </c>
      <c r="I85" s="116">
        <f t="shared" si="74"/>
        <v>7.460797909929999E-2</v>
      </c>
      <c r="J85" s="116">
        <f t="shared" si="74"/>
        <v>7.4685937494278765E-2</v>
      </c>
      <c r="K85" s="116">
        <f t="shared" si="74"/>
        <v>7.4763895889257539E-2</v>
      </c>
      <c r="L85" s="116">
        <f t="shared" si="74"/>
        <v>7.4841854284236314E-2</v>
      </c>
      <c r="M85" s="116">
        <f t="shared" si="74"/>
        <v>7.4919812679215089E-2</v>
      </c>
      <c r="N85" s="178">
        <f t="shared" si="74"/>
        <v>7.4997771074193836E-2</v>
      </c>
      <c r="O85" s="116">
        <f t="shared" si="74"/>
        <v>7.4421705024354259E-2</v>
      </c>
      <c r="P85" s="116">
        <f t="shared" si="74"/>
        <v>7.3845638974514682E-2</v>
      </c>
      <c r="Q85" s="116">
        <f t="shared" si="74"/>
        <v>7.3269572924675105E-2</v>
      </c>
      <c r="R85" s="116">
        <f t="shared" si="74"/>
        <v>7.2693506874835528E-2</v>
      </c>
      <c r="S85" s="116">
        <f t="shared" si="74"/>
        <v>7.2117440824995951E-2</v>
      </c>
      <c r="T85" s="116">
        <f t="shared" si="74"/>
        <v>7.1541374775156388E-2</v>
      </c>
      <c r="U85" s="116">
        <f t="shared" si="74"/>
        <v>7.0965308725316797E-2</v>
      </c>
      <c r="V85" s="116">
        <f t="shared" si="74"/>
        <v>7.038924267547722E-2</v>
      </c>
      <c r="W85" s="116">
        <f t="shared" si="74"/>
        <v>6.9813176625637643E-2</v>
      </c>
      <c r="X85" s="178">
        <f t="shared" si="74"/>
        <v>6.9237110575798066E-2</v>
      </c>
      <c r="Y85" s="173">
        <f t="shared" si="74"/>
        <v>6.892074114334959E-2</v>
      </c>
      <c r="Z85" s="173">
        <f t="shared" si="74"/>
        <v>6.8604371710901113E-2</v>
      </c>
      <c r="AA85" s="173">
        <f t="shared" si="74"/>
        <v>6.8288002278452636E-2</v>
      </c>
      <c r="AB85" s="173">
        <f t="shared" si="74"/>
        <v>6.797163284600416E-2</v>
      </c>
      <c r="AC85" s="173">
        <f t="shared" si="74"/>
        <v>6.7655263413555683E-2</v>
      </c>
      <c r="AD85" s="173">
        <f t="shared" si="74"/>
        <v>6.7338893981107206E-2</v>
      </c>
      <c r="AE85" s="173">
        <f t="shared" si="74"/>
        <v>6.702252454865873E-2</v>
      </c>
      <c r="AF85" s="173">
        <f t="shared" si="74"/>
        <v>6.6706155116210253E-2</v>
      </c>
      <c r="AG85" s="173">
        <f t="shared" si="74"/>
        <v>6.6389785683761776E-2</v>
      </c>
      <c r="AH85" s="178">
        <f t="shared" si="74"/>
        <v>6.6073416251313286E-2</v>
      </c>
      <c r="AI85" s="127"/>
    </row>
    <row r="86" spans="1:35" s="252" customFormat="1">
      <c r="A86" s="10" t="s">
        <v>121</v>
      </c>
      <c r="B86" s="37"/>
      <c r="C86" s="410">
        <f t="shared" ref="C86:AH86" si="75">C34/C$49</f>
        <v>1.2527238343908691E-2</v>
      </c>
      <c r="D86" s="336">
        <f t="shared" si="75"/>
        <v>1.62519636173225E-2</v>
      </c>
      <c r="E86" s="336">
        <f t="shared" si="75"/>
        <v>1.7303467013589244E-2</v>
      </c>
      <c r="F86" s="336">
        <f t="shared" si="75"/>
        <v>2.0336303929019677E-2</v>
      </c>
      <c r="G86" s="336">
        <f t="shared" si="75"/>
        <v>2.3900716380634502E-2</v>
      </c>
      <c r="H86" s="409">
        <f t="shared" si="75"/>
        <v>1.2379112916108369E-2</v>
      </c>
      <c r="I86" s="396">
        <f t="shared" si="75"/>
        <v>1.4548841711081664E-2</v>
      </c>
      <c r="J86" s="396">
        <f t="shared" si="75"/>
        <v>1.7098866176321472E-2</v>
      </c>
      <c r="K86" s="396">
        <f t="shared" si="75"/>
        <v>2.0095842014217193E-2</v>
      </c>
      <c r="L86" s="396">
        <f t="shared" si="75"/>
        <v>2.3618107896511812E-2</v>
      </c>
      <c r="M86" s="396">
        <f t="shared" si="75"/>
        <v>2.7757733177671114E-2</v>
      </c>
      <c r="N86" s="397">
        <f>N34/N$49</f>
        <v>3.2622924517868697E-2</v>
      </c>
      <c r="O86" s="396">
        <f t="shared" si="75"/>
        <v>3.3033809311957756E-2</v>
      </c>
      <c r="P86" s="396">
        <f t="shared" si="75"/>
        <v>3.3449869188186397E-2</v>
      </c>
      <c r="Q86" s="396">
        <f t="shared" si="75"/>
        <v>3.3871169326565025E-2</v>
      </c>
      <c r="R86" s="396">
        <f t="shared" si="75"/>
        <v>3.4297775728044398E-2</v>
      </c>
      <c r="S86" s="396">
        <f t="shared" si="75"/>
        <v>3.472975522485533E-2</v>
      </c>
      <c r="T86" s="396">
        <f t="shared" si="75"/>
        <v>3.5167175490978676E-2</v>
      </c>
      <c r="U86" s="396">
        <f t="shared" si="75"/>
        <v>3.5610105052747115E-2</v>
      </c>
      <c r="V86" s="396">
        <f t="shared" si="75"/>
        <v>3.6058613299580509E-2</v>
      </c>
      <c r="W86" s="396">
        <f t="shared" si="75"/>
        <v>3.6512770494856475E-2</v>
      </c>
      <c r="X86" s="397">
        <f t="shared" si="75"/>
        <v>3.6972647786917855E-2</v>
      </c>
      <c r="Y86" s="396">
        <f>Y34/Y$49</f>
        <v>3.757843254184761E-2</v>
      </c>
      <c r="Z86" s="396">
        <f t="shared" si="75"/>
        <v>3.8194142882075455E-2</v>
      </c>
      <c r="AA86" s="396">
        <f t="shared" si="75"/>
        <v>3.8819941435073786E-2</v>
      </c>
      <c r="AB86" s="396">
        <f t="shared" si="75"/>
        <v>3.9455993492912997E-2</v>
      </c>
      <c r="AC86" s="396">
        <f t="shared" si="75"/>
        <v>4.0102467055920063E-2</v>
      </c>
      <c r="AD86" s="396">
        <f t="shared" si="75"/>
        <v>4.0759532877052432E-2</v>
      </c>
      <c r="AE86" s="396">
        <f t="shared" si="75"/>
        <v>4.1427364506998958E-2</v>
      </c>
      <c r="AF86" s="396">
        <f t="shared" si="75"/>
        <v>4.2106138340019868E-2</v>
      </c>
      <c r="AG86" s="396">
        <f t="shared" si="75"/>
        <v>4.2796033660537663E-2</v>
      </c>
      <c r="AH86" s="397">
        <f t="shared" si="75"/>
        <v>4.3497232690491591E-2</v>
      </c>
      <c r="AI86" s="292"/>
    </row>
    <row r="87" spans="1:35">
      <c r="A87" s="9" t="s">
        <v>50</v>
      </c>
      <c r="B87" s="37"/>
      <c r="C87" s="410">
        <f t="shared" ref="C87:AH87" si="76">C35/C$49</f>
        <v>0</v>
      </c>
      <c r="D87" s="336">
        <f t="shared" si="76"/>
        <v>0</v>
      </c>
      <c r="E87" s="336">
        <f t="shared" si="76"/>
        <v>1.6872062807520303E-8</v>
      </c>
      <c r="F87" s="336">
        <f t="shared" si="76"/>
        <v>1.729682636511206E-8</v>
      </c>
      <c r="G87" s="336">
        <f t="shared" si="76"/>
        <v>2.3182523795396767E-8</v>
      </c>
      <c r="H87" s="409">
        <f t="shared" si="76"/>
        <v>2.4915970595384339E-8</v>
      </c>
      <c r="I87" s="116">
        <f t="shared" si="76"/>
        <v>3.0572449750518868E-8</v>
      </c>
      <c r="J87" s="116">
        <f>J35/J$49</f>
        <v>3.7513075405585395E-8</v>
      </c>
      <c r="K87" s="116">
        <f t="shared" si="76"/>
        <v>4.6029377359962876E-8</v>
      </c>
      <c r="L87" s="116">
        <f t="shared" si="76"/>
        <v>5.6479069157587784E-8</v>
      </c>
      <c r="M87" s="116">
        <f t="shared" si="76"/>
        <v>6.9301073268095066E-8</v>
      </c>
      <c r="N87" s="178">
        <f t="shared" si="76"/>
        <v>8.5033957318056499E-8</v>
      </c>
      <c r="O87" s="116">
        <f t="shared" si="76"/>
        <v>8.610495755974451E-8</v>
      </c>
      <c r="P87" s="116">
        <f t="shared" si="76"/>
        <v>8.7189447018609652E-8</v>
      </c>
      <c r="Q87" s="116">
        <f t="shared" si="76"/>
        <v>8.8287595590953542E-8</v>
      </c>
      <c r="R87" s="116">
        <f t="shared" si="76"/>
        <v>8.9399575312916748E-8</v>
      </c>
      <c r="S87" s="116">
        <f t="shared" si="76"/>
        <v>9.0525560387430122E-8</v>
      </c>
      <c r="T87" s="116">
        <f t="shared" si="76"/>
        <v>9.1665727211505382E-8</v>
      </c>
      <c r="U87" s="116">
        <f t="shared" si="76"/>
        <v>9.2820254403869533E-8</v>
      </c>
      <c r="V87" s="116">
        <f t="shared" si="76"/>
        <v>9.5864755133923403E-8</v>
      </c>
      <c r="W87" s="116">
        <f t="shared" si="76"/>
        <v>9.5636081776703153E-8</v>
      </c>
      <c r="X87" s="178">
        <f t="shared" si="76"/>
        <v>9.6371818293797361E-8</v>
      </c>
      <c r="Y87" s="173">
        <f t="shared" si="76"/>
        <v>1.0724269631315887E-7</v>
      </c>
      <c r="Z87" s="173">
        <f t="shared" si="76"/>
        <v>1.2078195833069737E-7</v>
      </c>
      <c r="AA87" s="173">
        <f t="shared" si="76"/>
        <v>1.3264008431735851E-7</v>
      </c>
      <c r="AB87" s="173">
        <f t="shared" si="76"/>
        <v>1.4464735331696126E-7</v>
      </c>
      <c r="AC87" s="173">
        <f t="shared" si="76"/>
        <v>1.4749177910283933E-7</v>
      </c>
      <c r="AD87" s="173">
        <f t="shared" si="76"/>
        <v>1.4966748670839878E-7</v>
      </c>
      <c r="AE87" s="173">
        <f t="shared" si="76"/>
        <v>1.5083368395031162E-7</v>
      </c>
      <c r="AF87" s="173">
        <f t="shared" si="76"/>
        <v>1.5352611030521516E-7</v>
      </c>
      <c r="AG87" s="173">
        <f t="shared" si="76"/>
        <v>1.5573468825376061E-7</v>
      </c>
      <c r="AH87" s="178">
        <f t="shared" si="76"/>
        <v>1.1337860975740867E-7</v>
      </c>
      <c r="AI87" s="127"/>
    </row>
    <row r="88" spans="1:35">
      <c r="A88" s="9" t="s">
        <v>119</v>
      </c>
      <c r="B88" s="37"/>
      <c r="C88" s="410">
        <f t="shared" ref="C88:AH88" si="77">C36/C$49</f>
        <v>0</v>
      </c>
      <c r="D88" s="336">
        <f t="shared" si="77"/>
        <v>0</v>
      </c>
      <c r="E88" s="336">
        <f t="shared" si="77"/>
        <v>0</v>
      </c>
      <c r="F88" s="336">
        <f t="shared" si="77"/>
        <v>0</v>
      </c>
      <c r="G88" s="336">
        <f t="shared" si="77"/>
        <v>0</v>
      </c>
      <c r="H88" s="409">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410">
        <f t="shared" ref="C89:AH89" si="78">C37/C$49</f>
        <v>1.4975089514557515E-3</v>
      </c>
      <c r="D89" s="336">
        <f t="shared" si="78"/>
        <v>1.7939219983321376E-3</v>
      </c>
      <c r="E89" s="336">
        <f t="shared" si="78"/>
        <v>2.7577315920850232E-3</v>
      </c>
      <c r="F89" s="336">
        <f t="shared" si="78"/>
        <v>3.1906458786644817E-3</v>
      </c>
      <c r="G89" s="336">
        <f t="shared" si="78"/>
        <v>4.2955508725390562E-3</v>
      </c>
      <c r="H89" s="409">
        <f t="shared" si="78"/>
        <v>3.7827958092944017E-3</v>
      </c>
      <c r="I89" s="116">
        <f t="shared" si="78"/>
        <v>4.3168378706488772E-3</v>
      </c>
      <c r="J89" s="116">
        <f t="shared" si="78"/>
        <v>4.7731346519021122E-3</v>
      </c>
      <c r="K89" s="116">
        <f t="shared" si="78"/>
        <v>5.3616576430081829E-3</v>
      </c>
      <c r="L89" s="116">
        <f t="shared" si="78"/>
        <v>6.0227449626572187E-3</v>
      </c>
      <c r="M89" s="116">
        <f t="shared" si="78"/>
        <v>6.7653437239721843E-3</v>
      </c>
      <c r="N89" s="178">
        <f t="shared" si="78"/>
        <v>7.5995042106674713E-3</v>
      </c>
      <c r="O89" s="116">
        <f t="shared" si="78"/>
        <v>7.6952197471782651E-3</v>
      </c>
      <c r="P89" s="116">
        <f t="shared" si="78"/>
        <v>7.7921408181128313E-3</v>
      </c>
      <c r="Q89" s="116">
        <f t="shared" si="78"/>
        <v>7.890282607142491E-3</v>
      </c>
      <c r="R89" s="116">
        <f t="shared" si="78"/>
        <v>7.989660489176471E-3</v>
      </c>
      <c r="S89" s="116">
        <f t="shared" si="78"/>
        <v>8.0902900327705345E-3</v>
      </c>
      <c r="T89" s="116">
        <f t="shared" si="78"/>
        <v>8.1921870025659579E-3</v>
      </c>
      <c r="U89" s="116">
        <f t="shared" si="78"/>
        <v>8.2953673617592195E-3</v>
      </c>
      <c r="V89" s="116">
        <f t="shared" si="78"/>
        <v>8.3998472746027956E-3</v>
      </c>
      <c r="W89" s="116">
        <f t="shared" si="78"/>
        <v>8.5056431089374582E-3</v>
      </c>
      <c r="X89" s="178">
        <f t="shared" si="78"/>
        <v>8.6127714387564669E-3</v>
      </c>
      <c r="Y89" s="173">
        <f t="shared" si="78"/>
        <v>8.7538888849659647E-3</v>
      </c>
      <c r="Z89" s="173">
        <f t="shared" si="78"/>
        <v>8.8973184944281733E-3</v>
      </c>
      <c r="AA89" s="173">
        <f t="shared" si="78"/>
        <v>9.0430981511825988E-3</v>
      </c>
      <c r="AB89" s="173">
        <f t="shared" si="78"/>
        <v>9.1912663599863567E-3</v>
      </c>
      <c r="AC89" s="173">
        <f t="shared" si="78"/>
        <v>9.3418622564844303E-3</v>
      </c>
      <c r="AD89" s="173">
        <f t="shared" si="78"/>
        <v>9.4949256175465586E-3</v>
      </c>
      <c r="AE89" s="173">
        <f t="shared" si="78"/>
        <v>9.6504968717734951E-3</v>
      </c>
      <c r="AF89" s="173">
        <f t="shared" si="78"/>
        <v>9.808617110175416E-3</v>
      </c>
      <c r="AG89" s="173">
        <f t="shared" si="78"/>
        <v>9.9693280970252641E-3</v>
      </c>
      <c r="AH89" s="178">
        <f t="shared" si="78"/>
        <v>1.0132672280889961E-2</v>
      </c>
      <c r="AI89" s="127"/>
    </row>
    <row r="90" spans="1:35" s="252" customFormat="1">
      <c r="A90" s="10" t="s">
        <v>347</v>
      </c>
      <c r="B90" s="37"/>
      <c r="C90" s="410">
        <f t="shared" ref="C90:AH90" si="79">C38/C$49</f>
        <v>0</v>
      </c>
      <c r="D90" s="336">
        <f t="shared" si="79"/>
        <v>0</v>
      </c>
      <c r="E90" s="336">
        <f t="shared" si="79"/>
        <v>1.7269255688352411E-7</v>
      </c>
      <c r="F90" s="336">
        <f t="shared" si="79"/>
        <v>1.7024435398732345E-7</v>
      </c>
      <c r="G90" s="336">
        <f t="shared" si="79"/>
        <v>1.9209316743469415E-7</v>
      </c>
      <c r="H90" s="409">
        <f t="shared" si="79"/>
        <v>1.8926478335009039E-7</v>
      </c>
      <c r="I90" s="396">
        <f t="shared" si="79"/>
        <v>2.0502573457572164E-7</v>
      </c>
      <c r="J90" s="396">
        <f t="shared" si="79"/>
        <v>2.2209917288500244E-7</v>
      </c>
      <c r="K90" s="396">
        <f t="shared" si="79"/>
        <v>2.4059439512937827E-7</v>
      </c>
      <c r="L90" s="396">
        <f t="shared" si="79"/>
        <v>2.6062979981309158E-7</v>
      </c>
      <c r="M90" s="396">
        <f t="shared" si="79"/>
        <v>2.8233364502977866E-7</v>
      </c>
      <c r="N90" s="397">
        <f t="shared" si="79"/>
        <v>3.0584486951594198E-7</v>
      </c>
      <c r="O90" s="396">
        <f t="shared" si="79"/>
        <v>3.0969697683285088E-7</v>
      </c>
      <c r="P90" s="396">
        <f t="shared" si="79"/>
        <v>3.1359760133039614E-7</v>
      </c>
      <c r="Q90" s="396">
        <f t="shared" si="79"/>
        <v>3.1754735408106949E-7</v>
      </c>
      <c r="R90" s="396">
        <f t="shared" si="79"/>
        <v>3.2154685385380316E-7</v>
      </c>
      <c r="S90" s="396">
        <f t="shared" si="79"/>
        <v>3.2559672721090627E-7</v>
      </c>
      <c r="T90" s="396">
        <f t="shared" si="79"/>
        <v>3.2969760860622217E-7</v>
      </c>
      <c r="U90" s="396">
        <f t="shared" si="79"/>
        <v>3.3385014048452203E-7</v>
      </c>
      <c r="V90" s="396">
        <f t="shared" si="79"/>
        <v>3.3805497338215048E-7</v>
      </c>
      <c r="W90" s="396">
        <f t="shared" si="79"/>
        <v>3.4231276602893859E-7</v>
      </c>
      <c r="X90" s="397">
        <f t="shared" si="79"/>
        <v>3.4662418545140085E-7</v>
      </c>
      <c r="Y90" s="396">
        <f t="shared" si="79"/>
        <v>3.523035094870113E-7</v>
      </c>
      <c r="Z90" s="396">
        <f t="shared" si="79"/>
        <v>3.580758873914955E-7</v>
      </c>
      <c r="AA90" s="396">
        <f t="shared" si="79"/>
        <v>3.6394284382209397E-7</v>
      </c>
      <c r="AB90" s="396">
        <f t="shared" si="79"/>
        <v>3.6990592841705817E-7</v>
      </c>
      <c r="AC90" s="396">
        <f t="shared" si="79"/>
        <v>3.7596671620495571E-7</v>
      </c>
      <c r="AD90" s="396">
        <f t="shared" si="79"/>
        <v>3.8212680802068307E-7</v>
      </c>
      <c r="AE90" s="396">
        <f t="shared" si="79"/>
        <v>3.8838783092829333E-7</v>
      </c>
      <c r="AF90" s="396">
        <f t="shared" si="79"/>
        <v>3.9475143865075248E-7</v>
      </c>
      <c r="AG90" s="396">
        <f t="shared" si="79"/>
        <v>4.0121931200673723E-7</v>
      </c>
      <c r="AH90" s="397">
        <f t="shared" si="79"/>
        <v>4.0779315935458922E-7</v>
      </c>
      <c r="AI90" s="292"/>
    </row>
    <row r="91" spans="1:35" s="252" customFormat="1">
      <c r="A91" s="10" t="s">
        <v>348</v>
      </c>
      <c r="B91" s="37"/>
      <c r="C91" s="410">
        <f t="shared" ref="C91:AH91" si="80">C39/C$49</f>
        <v>0</v>
      </c>
      <c r="D91" s="336">
        <f t="shared" si="80"/>
        <v>0</v>
      </c>
      <c r="E91" s="336">
        <f t="shared" si="80"/>
        <v>8.6346278441762053E-8</v>
      </c>
      <c r="F91" s="336">
        <f t="shared" si="80"/>
        <v>8.5122176993661725E-8</v>
      </c>
      <c r="G91" s="336">
        <f t="shared" si="80"/>
        <v>9.6046583717347077E-8</v>
      </c>
      <c r="H91" s="409">
        <f t="shared" si="80"/>
        <v>9.4632391675045196E-8</v>
      </c>
      <c r="I91" s="396">
        <f t="shared" si="80"/>
        <v>1.0251286728786082E-7</v>
      </c>
      <c r="J91" s="396">
        <f t="shared" si="80"/>
        <v>1.1104958644250122E-7</v>
      </c>
      <c r="K91" s="396">
        <f t="shared" si="80"/>
        <v>1.2029719756468913E-7</v>
      </c>
      <c r="L91" s="396">
        <f t="shared" si="80"/>
        <v>1.3031489990654579E-7</v>
      </c>
      <c r="M91" s="396">
        <f t="shared" si="80"/>
        <v>1.4116682251488933E-7</v>
      </c>
      <c r="N91" s="397">
        <f t="shared" si="80"/>
        <v>1.5292243475797099E-7</v>
      </c>
      <c r="O91" s="396">
        <f t="shared" si="80"/>
        <v>1.5484848841642544E-7</v>
      </c>
      <c r="P91" s="396">
        <f t="shared" si="80"/>
        <v>1.5679880066519807E-7</v>
      </c>
      <c r="Q91" s="396">
        <f t="shared" si="80"/>
        <v>1.5877367704053474E-7</v>
      </c>
      <c r="R91" s="396">
        <f t="shared" si="80"/>
        <v>1.6077342692690158E-7</v>
      </c>
      <c r="S91" s="396">
        <f t="shared" si="80"/>
        <v>1.6279836360545314E-7</v>
      </c>
      <c r="T91" s="396">
        <f t="shared" si="80"/>
        <v>1.6484880430311108E-7</v>
      </c>
      <c r="U91" s="396">
        <f t="shared" si="80"/>
        <v>1.6692507024226101E-7</v>
      </c>
      <c r="V91" s="396">
        <f t="shared" si="80"/>
        <v>1.6902748669107524E-7</v>
      </c>
      <c r="W91" s="396">
        <f t="shared" si="80"/>
        <v>1.711563830144693E-7</v>
      </c>
      <c r="X91" s="397">
        <f t="shared" si="80"/>
        <v>1.7331209272570043E-7</v>
      </c>
      <c r="Y91" s="396">
        <f t="shared" si="80"/>
        <v>1.7615175474350565E-7</v>
      </c>
      <c r="Z91" s="396">
        <f t="shared" si="80"/>
        <v>1.7903794369574775E-7</v>
      </c>
      <c r="AA91" s="396">
        <f t="shared" si="80"/>
        <v>1.8197142191104699E-7</v>
      </c>
      <c r="AB91" s="396">
        <f t="shared" si="80"/>
        <v>1.8495296420852909E-7</v>
      </c>
      <c r="AC91" s="396">
        <f t="shared" si="80"/>
        <v>1.8798335810247786E-7</v>
      </c>
      <c r="AD91" s="396">
        <f t="shared" si="80"/>
        <v>1.9106340401034154E-7</v>
      </c>
      <c r="AE91" s="396">
        <f t="shared" si="80"/>
        <v>1.9419391546414667E-7</v>
      </c>
      <c r="AF91" s="396">
        <f t="shared" si="80"/>
        <v>1.9737571932537624E-7</v>
      </c>
      <c r="AG91" s="396">
        <f t="shared" si="80"/>
        <v>2.0060965600336861E-7</v>
      </c>
      <c r="AH91" s="397">
        <f t="shared" si="80"/>
        <v>2.0389657967729461E-7</v>
      </c>
      <c r="AI91" s="292"/>
    </row>
    <row r="92" spans="1:35">
      <c r="A92" s="9" t="s">
        <v>344</v>
      </c>
      <c r="B92" s="37"/>
      <c r="C92" s="410">
        <f t="shared" ref="C92:AH92" si="81">C40/C$49</f>
        <v>9.5994163554855869E-8</v>
      </c>
      <c r="D92" s="336">
        <f t="shared" si="81"/>
        <v>1.0398804019134968E-7</v>
      </c>
      <c r="E92" s="336">
        <f t="shared" si="81"/>
        <v>1.1264760379581177E-7</v>
      </c>
      <c r="F92" s="336">
        <f t="shared" si="81"/>
        <v>1.2202828919160425E-7</v>
      </c>
      <c r="G92" s="336">
        <f t="shared" si="81"/>
        <v>1.3219014751544535E-7</v>
      </c>
      <c r="H92" s="409">
        <f t="shared" si="81"/>
        <v>9.4632391675045196E-8</v>
      </c>
      <c r="I92" s="116">
        <f t="shared" si="81"/>
        <v>1.0251286728786082E-7</v>
      </c>
      <c r="J92" s="116">
        <f t="shared" si="81"/>
        <v>1.1104958644250122E-7</v>
      </c>
      <c r="K92" s="116">
        <f t="shared" si="81"/>
        <v>1.2029719756468913E-7</v>
      </c>
      <c r="L92" s="116">
        <f t="shared" si="81"/>
        <v>1.3031489990654579E-7</v>
      </c>
      <c r="M92" s="116">
        <f t="shared" si="81"/>
        <v>1.4116682251488933E-7</v>
      </c>
      <c r="N92" s="178">
        <f t="shared" si="81"/>
        <v>1.5292243475797099E-7</v>
      </c>
      <c r="O92" s="116">
        <f t="shared" si="81"/>
        <v>1.5484848841642544E-7</v>
      </c>
      <c r="P92" s="116">
        <f t="shared" si="81"/>
        <v>1.5679880066519807E-7</v>
      </c>
      <c r="Q92" s="116">
        <f t="shared" si="81"/>
        <v>1.5877367704053474E-7</v>
      </c>
      <c r="R92" s="116">
        <f t="shared" si="81"/>
        <v>1.6077342692690158E-7</v>
      </c>
      <c r="S92" s="116">
        <f t="shared" si="81"/>
        <v>1.6279836360545314E-7</v>
      </c>
      <c r="T92" s="116">
        <f t="shared" si="81"/>
        <v>1.6484880430311108E-7</v>
      </c>
      <c r="U92" s="116">
        <f t="shared" si="81"/>
        <v>1.6692507024226101E-7</v>
      </c>
      <c r="V92" s="116">
        <f t="shared" si="81"/>
        <v>1.6902748669107524E-7</v>
      </c>
      <c r="W92" s="116">
        <f t="shared" si="81"/>
        <v>1.711563830144693E-7</v>
      </c>
      <c r="X92" s="178">
        <f t="shared" si="81"/>
        <v>1.7331209272570043E-7</v>
      </c>
      <c r="Y92" s="173">
        <f t="shared" si="81"/>
        <v>1.7615175474350565E-7</v>
      </c>
      <c r="Z92" s="173">
        <f t="shared" si="81"/>
        <v>1.7903794369574775E-7</v>
      </c>
      <c r="AA92" s="173">
        <f t="shared" si="81"/>
        <v>1.8197142191104699E-7</v>
      </c>
      <c r="AB92" s="173">
        <f t="shared" si="81"/>
        <v>1.8495296420852909E-7</v>
      </c>
      <c r="AC92" s="173">
        <f t="shared" si="81"/>
        <v>1.8798335810247786E-7</v>
      </c>
      <c r="AD92" s="173">
        <f t="shared" si="81"/>
        <v>1.9106340401034154E-7</v>
      </c>
      <c r="AE92" s="173">
        <f t="shared" si="81"/>
        <v>1.9419391546414667E-7</v>
      </c>
      <c r="AF92" s="173">
        <f t="shared" si="81"/>
        <v>1.9737571932537624E-7</v>
      </c>
      <c r="AG92" s="173">
        <f t="shared" si="81"/>
        <v>2.0060965600336861E-7</v>
      </c>
      <c r="AH92" s="178">
        <f t="shared" si="81"/>
        <v>2.0389657967729461E-7</v>
      </c>
      <c r="AI92" s="127"/>
    </row>
    <row r="93" spans="1:35">
      <c r="A93" s="9" t="s">
        <v>120</v>
      </c>
      <c r="B93" s="37"/>
      <c r="C93" s="410">
        <f t="shared" ref="C93:AH93" si="82">C41/C$49</f>
        <v>0</v>
      </c>
      <c r="D93" s="336">
        <f t="shared" si="82"/>
        <v>0</v>
      </c>
      <c r="E93" s="336">
        <f t="shared" si="82"/>
        <v>0</v>
      </c>
      <c r="F93" s="336">
        <f t="shared" si="82"/>
        <v>0</v>
      </c>
      <c r="G93" s="336">
        <f t="shared" si="82"/>
        <v>0</v>
      </c>
      <c r="H93" s="409">
        <f t="shared" si="82"/>
        <v>9.4632391675045205E-6</v>
      </c>
      <c r="I93" s="116">
        <f t="shared" si="82"/>
        <v>1.9326658268597726E-5</v>
      </c>
      <c r="J93" s="116">
        <f t="shared" si="82"/>
        <v>2.8360581305518627E-5</v>
      </c>
      <c r="K93" s="116">
        <f t="shared" si="82"/>
        <v>3.7387356621406958E-5</v>
      </c>
      <c r="L93" s="116">
        <f t="shared" si="82"/>
        <v>4.6339300785712226E-5</v>
      </c>
      <c r="M93" s="116">
        <f t="shared" si="82"/>
        <v>5.5248801209985154E-5</v>
      </c>
      <c r="N93" s="178">
        <f t="shared" si="82"/>
        <v>6.4141516949118489E-5</v>
      </c>
      <c r="O93" s="116">
        <f t="shared" si="82"/>
        <v>7.2081947304367575E-5</v>
      </c>
      <c r="P93" s="116">
        <f t="shared" si="82"/>
        <v>8.0066177278274013E-5</v>
      </c>
      <c r="Q93" s="116">
        <f t="shared" si="82"/>
        <v>8.8114836658453351E-5</v>
      </c>
      <c r="R93" s="116">
        <f t="shared" si="82"/>
        <v>9.6482403864098389E-5</v>
      </c>
      <c r="S93" s="116">
        <f t="shared" si="82"/>
        <v>1.0458689930489876E-4</v>
      </c>
      <c r="T93" s="116">
        <f t="shared" si="82"/>
        <v>1.1207855598777796E-4</v>
      </c>
      <c r="U93" s="116">
        <f t="shared" si="82"/>
        <v>1.1999516654426906E-4</v>
      </c>
      <c r="V93" s="116">
        <f t="shared" si="82"/>
        <v>1.280577813047274E-4</v>
      </c>
      <c r="W93" s="116">
        <f t="shared" si="82"/>
        <v>1.3499793630840633E-4</v>
      </c>
      <c r="X93" s="178">
        <f t="shared" si="82"/>
        <v>1.4236715660387637E-4</v>
      </c>
      <c r="Y93" s="173">
        <f t="shared" si="82"/>
        <v>1.5050671187426869E-4</v>
      </c>
      <c r="Z93" s="173">
        <f t="shared" si="82"/>
        <v>1.5767197161887663E-4</v>
      </c>
      <c r="AA93" s="173">
        <f t="shared" si="82"/>
        <v>1.6530034047980004E-4</v>
      </c>
      <c r="AB93" s="173">
        <f t="shared" si="82"/>
        <v>1.7313407562877988E-4</v>
      </c>
      <c r="AC93" s="173">
        <f t="shared" si="82"/>
        <v>1.807192067528738E-4</v>
      </c>
      <c r="AD93" s="173">
        <f t="shared" si="82"/>
        <v>1.8803804853371667E-4</v>
      </c>
      <c r="AE93" s="173">
        <f t="shared" si="82"/>
        <v>1.948799039129898E-4</v>
      </c>
      <c r="AF93" s="173">
        <f t="shared" si="82"/>
        <v>2.0201260110717128E-4</v>
      </c>
      <c r="AG93" s="173">
        <f t="shared" si="82"/>
        <v>2.0788527642977479E-4</v>
      </c>
      <c r="AH93" s="178">
        <f t="shared" si="82"/>
        <v>2.1426587307321807E-4</v>
      </c>
      <c r="AI93" s="127"/>
    </row>
    <row r="94" spans="1:35">
      <c r="A94" s="9" t="s">
        <v>53</v>
      </c>
      <c r="B94" s="37"/>
      <c r="C94" s="410">
        <f t="shared" ref="C94:AH94" si="83">C42/C$49</f>
        <v>3.4289115221794515E-2</v>
      </c>
      <c r="D94" s="336">
        <f t="shared" si="83"/>
        <v>4.6011675038302668E-2</v>
      </c>
      <c r="E94" s="336">
        <f t="shared" si="83"/>
        <v>4.1661517612093739E-2</v>
      </c>
      <c r="F94" s="336">
        <f t="shared" si="83"/>
        <v>4.6640670975864496E-2</v>
      </c>
      <c r="G94" s="336">
        <f t="shared" si="83"/>
        <v>6.1925833153933726E-2</v>
      </c>
      <c r="H94" s="409">
        <f t="shared" si="83"/>
        <v>6.1203243808377959E-2</v>
      </c>
      <c r="I94" s="116">
        <f t="shared" si="83"/>
        <v>6.746271950644496E-2</v>
      </c>
      <c r="J94" s="116">
        <f t="shared" si="83"/>
        <v>7.4362374279617255E-2</v>
      </c>
      <c r="K94" s="116">
        <f t="shared" si="83"/>
        <v>8.1967681542597814E-2</v>
      </c>
      <c r="L94" s="116">
        <f t="shared" si="83"/>
        <v>9.0350810911511314E-2</v>
      </c>
      <c r="M94" s="116">
        <f t="shared" si="83"/>
        <v>9.9591313048488492E-2</v>
      </c>
      <c r="N94" s="178">
        <f t="shared" si="83"/>
        <v>0.10977687454776748</v>
      </c>
      <c r="O94" s="116">
        <f t="shared" si="83"/>
        <v>0.111159511118857</v>
      </c>
      <c r="P94" s="116">
        <f t="shared" si="83"/>
        <v>0.11255956195771094</v>
      </c>
      <c r="Q94" s="116">
        <f t="shared" si="83"/>
        <v>0.1139772463965299</v>
      </c>
      <c r="R94" s="116">
        <f t="shared" si="83"/>
        <v>0.11541278652999722</v>
      </c>
      <c r="S94" s="116">
        <f t="shared" si="83"/>
        <v>0.11686640725007237</v>
      </c>
      <c r="T94" s="116">
        <f t="shared" si="83"/>
        <v>0.1183383362812226</v>
      </c>
      <c r="U94" s="116">
        <f t="shared" si="83"/>
        <v>0.11982880421609823</v>
      </c>
      <c r="V94" s="116">
        <f t="shared" si="83"/>
        <v>0.12133804455165736</v>
      </c>
      <c r="W94" s="116">
        <f t="shared" si="83"/>
        <v>0.1228662937257456</v>
      </c>
      <c r="X94" s="178">
        <f t="shared" si="83"/>
        <v>0.12441379115413646</v>
      </c>
      <c r="Y94" s="173">
        <f t="shared" si="83"/>
        <v>0.12645227047589219</v>
      </c>
      <c r="Z94" s="173">
        <f t="shared" si="83"/>
        <v>0.12852414961535846</v>
      </c>
      <c r="AA94" s="173">
        <f t="shared" si="83"/>
        <v>0.13062997581763666</v>
      </c>
      <c r="AB94" s="173">
        <f t="shared" si="83"/>
        <v>0.13277030529426037</v>
      </c>
      <c r="AC94" s="173">
        <f t="shared" si="83"/>
        <v>0.13494570337010742</v>
      </c>
      <c r="AD94" s="173">
        <f t="shared" si="83"/>
        <v>0.1371567446327191</v>
      </c>
      <c r="AE94" s="173">
        <f t="shared" si="83"/>
        <v>0.1394040130840658</v>
      </c>
      <c r="AF94" s="173">
        <f t="shared" si="83"/>
        <v>0.14168810229479947</v>
      </c>
      <c r="AG94" s="173">
        <f t="shared" si="83"/>
        <v>0.1440096155610332</v>
      </c>
      <c r="AH94" s="178">
        <f t="shared" si="83"/>
        <v>0.14636916606368994</v>
      </c>
      <c r="AI94" s="127"/>
    </row>
    <row r="95" spans="1:35" s="378" customFormat="1">
      <c r="A95" s="373" t="s">
        <v>541</v>
      </c>
      <c r="B95" s="374"/>
      <c r="C95" s="375">
        <f>SUM(C86:C94)</f>
        <v>4.8313958511322516E-2</v>
      </c>
      <c r="D95" s="375">
        <f>SUM(D86:D94)</f>
        <v>6.4057664641997497E-2</v>
      </c>
      <c r="E95" s="375">
        <f>SUM(E86:E94)</f>
        <v>6.1723104776269938E-2</v>
      </c>
      <c r="F95" s="375">
        <f>SUM(F86:F94)</f>
        <v>7.0168015475195189E-2</v>
      </c>
      <c r="G95" s="375">
        <f t="shared" ref="G95:AH95" si="84">SUM(G86:G94)</f>
        <v>9.0122543919529757E-2</v>
      </c>
      <c r="H95" s="375">
        <f t="shared" si="84"/>
        <v>7.7375019218485525E-2</v>
      </c>
      <c r="I95" s="375">
        <f t="shared" si="84"/>
        <v>8.6348166370363008E-2</v>
      </c>
      <c r="J95" s="375">
        <f t="shared" si="84"/>
        <v>9.6263217400567536E-2</v>
      </c>
      <c r="K95" s="375">
        <f t="shared" si="84"/>
        <v>0.10746309577461222</v>
      </c>
      <c r="L95" s="375">
        <f t="shared" si="84"/>
        <v>0.12003858081013484</v>
      </c>
      <c r="M95" s="375">
        <f t="shared" si="84"/>
        <v>0.13417027271970511</v>
      </c>
      <c r="N95" s="376">
        <f t="shared" si="84"/>
        <v>0.15006414151694911</v>
      </c>
      <c r="O95" s="375">
        <f t="shared" si="84"/>
        <v>0.15196132762420861</v>
      </c>
      <c r="P95" s="375">
        <f t="shared" si="84"/>
        <v>0.15388235252593813</v>
      </c>
      <c r="Q95" s="375">
        <f t="shared" si="84"/>
        <v>0.15582753654919962</v>
      </c>
      <c r="R95" s="375">
        <f t="shared" si="84"/>
        <v>0.15779743764436521</v>
      </c>
      <c r="S95" s="375">
        <f t="shared" si="84"/>
        <v>0.15979178112601794</v>
      </c>
      <c r="T95" s="375">
        <f t="shared" si="84"/>
        <v>0.16181052839169943</v>
      </c>
      <c r="U95" s="375">
        <f t="shared" si="84"/>
        <v>0.16385503231768422</v>
      </c>
      <c r="V95" s="375">
        <f t="shared" si="84"/>
        <v>0.1659253348818473</v>
      </c>
      <c r="W95" s="375">
        <f t="shared" si="84"/>
        <v>0.16802048552746179</v>
      </c>
      <c r="X95" s="376">
        <f t="shared" si="84"/>
        <v>0.17014236715660386</v>
      </c>
      <c r="Y95" s="375">
        <f t="shared" si="84"/>
        <v>0.17293591046429532</v>
      </c>
      <c r="Z95" s="375">
        <f t="shared" si="84"/>
        <v>0.17577411989721409</v>
      </c>
      <c r="AA95" s="375">
        <f t="shared" si="84"/>
        <v>0.1786591762701448</v>
      </c>
      <c r="AB95" s="375">
        <f t="shared" si="84"/>
        <v>0.18159158368199865</v>
      </c>
      <c r="AC95" s="375">
        <f t="shared" si="84"/>
        <v>0.18457165131447628</v>
      </c>
      <c r="AD95" s="375">
        <f t="shared" si="84"/>
        <v>0.18760015509695455</v>
      </c>
      <c r="AE95" s="375">
        <f t="shared" si="84"/>
        <v>0.19067768197609705</v>
      </c>
      <c r="AF95" s="375">
        <f t="shared" si="84"/>
        <v>0.19380581337508954</v>
      </c>
      <c r="AG95" s="375">
        <f t="shared" si="84"/>
        <v>0.19698382076833817</v>
      </c>
      <c r="AH95" s="376">
        <f t="shared" si="84"/>
        <v>0.20021426587307317</v>
      </c>
      <c r="AI95" s="377"/>
    </row>
    <row r="96" spans="1:35">
      <c r="A96" s="10" t="s">
        <v>544</v>
      </c>
      <c r="B96" s="37"/>
      <c r="C96" s="332"/>
      <c r="D96" s="332">
        <f>D95/C95-1</f>
        <v>0.32586247568568405</v>
      </c>
      <c r="E96" s="332">
        <f t="shared" ref="E96:O96" si="85">E95/D95-1</f>
        <v>-3.6444660896940873E-2</v>
      </c>
      <c r="F96" s="332">
        <f t="shared" si="85"/>
        <v>0.13681927909387959</v>
      </c>
      <c r="G96" s="332">
        <f t="shared" si="85"/>
        <v>0.28438211212327369</v>
      </c>
      <c r="H96" s="284"/>
      <c r="I96" s="164">
        <f t="shared" si="85"/>
        <v>0.11596956281897408</v>
      </c>
      <c r="J96" s="164">
        <f t="shared" si="85"/>
        <v>0.11482642245901409</v>
      </c>
      <c r="K96" s="164">
        <f t="shared" si="85"/>
        <v>0.1163463956065387</v>
      </c>
      <c r="L96" s="164">
        <f t="shared" si="85"/>
        <v>0.11702142902990453</v>
      </c>
      <c r="M96" s="164">
        <f t="shared" si="85"/>
        <v>0.11772624946243226</v>
      </c>
      <c r="N96" s="164">
        <f t="shared" si="85"/>
        <v>0.11846043445441778</v>
      </c>
      <c r="O96" s="172">
        <f t="shared" si="85"/>
        <v>1.2642501320311972E-2</v>
      </c>
      <c r="P96" s="172">
        <f t="shared" ref="P96:AH96" si="86">P95/O95-1</f>
        <v>1.2641538026570087E-2</v>
      </c>
      <c r="Q96" s="172">
        <f t="shared" si="86"/>
        <v>1.2640721897812179E-2</v>
      </c>
      <c r="R96" s="172">
        <f t="shared" si="86"/>
        <v>1.2641546794546432E-2</v>
      </c>
      <c r="S96" s="172">
        <f t="shared" si="86"/>
        <v>1.2638630331548661E-2</v>
      </c>
      <c r="T96" s="172">
        <f t="shared" si="86"/>
        <v>1.2633611387618426E-2</v>
      </c>
      <c r="U96" s="172">
        <f t="shared" si="86"/>
        <v>1.263517242237544E-2</v>
      </c>
      <c r="V96" s="172">
        <f t="shared" si="86"/>
        <v>1.2634964791005787E-2</v>
      </c>
      <c r="W96" s="172">
        <f t="shared" si="86"/>
        <v>1.2627068959097931E-2</v>
      </c>
      <c r="X96" s="185">
        <f t="shared" si="86"/>
        <v>1.262870787738124E-2</v>
      </c>
      <c r="Y96" s="172">
        <f t="shared" si="86"/>
        <v>1.6418857656542496E-2</v>
      </c>
      <c r="Z96" s="172">
        <f t="shared" si="86"/>
        <v>1.641191482612725E-2</v>
      </c>
      <c r="AA96" s="172">
        <f t="shared" si="86"/>
        <v>1.6413430911318416E-2</v>
      </c>
      <c r="AB96" s="172">
        <f t="shared" si="86"/>
        <v>1.6413416165200756E-2</v>
      </c>
      <c r="AC96" s="172">
        <f t="shared" si="86"/>
        <v>1.6410824621124975E-2</v>
      </c>
      <c r="AD96" s="172">
        <f t="shared" si="86"/>
        <v>1.6408282425334431E-2</v>
      </c>
      <c r="AE96" s="172">
        <f t="shared" si="86"/>
        <v>1.6404713938280135E-2</v>
      </c>
      <c r="AF96" s="172">
        <f t="shared" si="86"/>
        <v>1.6405335782216035E-2</v>
      </c>
      <c r="AG96" s="172">
        <f t="shared" si="86"/>
        <v>1.6397895078090086E-2</v>
      </c>
      <c r="AH96" s="185">
        <f t="shared" si="86"/>
        <v>1.6399545364358392E-2</v>
      </c>
      <c r="AI96" s="127"/>
    </row>
    <row r="97" spans="1:36">
      <c r="A97" s="10"/>
      <c r="B97" s="37"/>
      <c r="C97" s="332"/>
      <c r="D97" s="332"/>
      <c r="E97" s="332"/>
      <c r="F97" s="332"/>
      <c r="G97" s="332"/>
      <c r="H97" s="284"/>
      <c r="I97" s="164"/>
      <c r="J97" s="164"/>
      <c r="K97" s="164"/>
      <c r="L97" s="164"/>
      <c r="M97" s="164"/>
      <c r="N97" s="180"/>
      <c r="O97" s="164"/>
      <c r="P97" s="164"/>
      <c r="Q97" s="164"/>
      <c r="R97" s="164"/>
      <c r="S97" s="164"/>
      <c r="T97" s="164"/>
      <c r="U97" s="164"/>
      <c r="V97" s="164"/>
      <c r="W97" s="164"/>
      <c r="X97" s="185"/>
      <c r="AI97" s="127"/>
    </row>
    <row r="98" spans="1:36">
      <c r="A98" s="10"/>
      <c r="B98" s="37"/>
      <c r="C98" s="332"/>
      <c r="D98" s="332"/>
      <c r="E98" s="332"/>
      <c r="F98" s="332"/>
      <c r="G98" s="332"/>
      <c r="H98" s="284"/>
      <c r="I98" s="172"/>
      <c r="J98" s="172"/>
      <c r="K98" s="172"/>
      <c r="L98" s="172"/>
      <c r="M98" s="172"/>
      <c r="N98" s="185"/>
      <c r="O98" s="172"/>
      <c r="P98" s="172"/>
      <c r="Q98" s="172"/>
      <c r="R98" s="172"/>
      <c r="S98" s="172"/>
      <c r="T98" s="172"/>
      <c r="U98" s="172"/>
      <c r="V98" s="172"/>
      <c r="W98" s="172"/>
      <c r="X98" s="185"/>
      <c r="AI98" s="127"/>
    </row>
    <row r="99" spans="1:36">
      <c r="A99" s="1" t="s">
        <v>139</v>
      </c>
      <c r="C99" s="328">
        <v>2009</v>
      </c>
      <c r="D99" s="328">
        <v>2010</v>
      </c>
      <c r="E99" s="328">
        <v>2011</v>
      </c>
      <c r="F99" s="328">
        <v>2012</v>
      </c>
      <c r="G99" s="328">
        <v>2013</v>
      </c>
      <c r="H99" s="400">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331">
        <v>0</v>
      </c>
      <c r="D100" s="331">
        <f xml:space="preserve"> IF(D29*Inputs!$C44 &gt; 0, D29*Inputs!$C44, 0)</f>
        <v>0</v>
      </c>
      <c r="E100" s="331">
        <f xml:space="preserve"> IF(E29*Inputs!$C44 &gt; 0, E29*Inputs!$C44, 0)</f>
        <v>0</v>
      </c>
      <c r="F100" s="331">
        <f xml:space="preserve"> IF(F29*Inputs!$C44 &gt; 0, F29*Inputs!$C44, 0)</f>
        <v>0</v>
      </c>
      <c r="G100" s="331">
        <f xml:space="preserve"> IF(G29*Inputs!$C44 &gt; 0, G29*Inputs!$C44, 0)</f>
        <v>0</v>
      </c>
      <c r="H100" s="402">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331">
        <v>0</v>
      </c>
      <c r="D101" s="331">
        <f>D30*Inputs!$C47</f>
        <v>0</v>
      </c>
      <c r="E101" s="331">
        <f>E30*Inputs!$C47</f>
        <v>0</v>
      </c>
      <c r="F101" s="331">
        <f>F30*Inputs!$C47</f>
        <v>0</v>
      </c>
      <c r="G101" s="331">
        <f>G30*Inputs!$C47</f>
        <v>0</v>
      </c>
      <c r="H101" s="402">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331">
        <f>C31*Inputs!$C$48</f>
        <v>10939.9485</v>
      </c>
      <c r="D102" s="331">
        <f>D31*Inputs!$C$48</f>
        <v>10791.745208988865</v>
      </c>
      <c r="E102" s="331">
        <f>E31*Inputs!$C$48</f>
        <v>12076.409586887112</v>
      </c>
      <c r="F102" s="331">
        <f>F31*Inputs!$C$48</f>
        <v>12206.500950171854</v>
      </c>
      <c r="G102" s="331">
        <f>G31*Inputs!$C$48</f>
        <v>10779.507233577378</v>
      </c>
      <c r="H102" s="402">
        <f>H31*Inputs!$C$48</f>
        <v>10565.985607500001</v>
      </c>
      <c r="I102" s="14">
        <f>I31*Inputs!$C$48</f>
        <v>10363.567202972079</v>
      </c>
      <c r="J102" s="14">
        <f>J31*Inputs!$C$48</f>
        <v>10610.290936997202</v>
      </c>
      <c r="K102" s="14">
        <f>K31*Inputs!$C$48</f>
        <v>10748.316442071708</v>
      </c>
      <c r="L102" s="14">
        <f>L31*Inputs!$C$48</f>
        <v>10856.971869702054</v>
      </c>
      <c r="M102" s="14">
        <f>M31*Inputs!$C$48</f>
        <v>10944.56424626734</v>
      </c>
      <c r="N102" s="182">
        <f>N31*Inputs!$C$48</f>
        <v>11015.6398125</v>
      </c>
      <c r="O102" s="14">
        <f>O31*Inputs!$C$48</f>
        <v>11116.437979608421</v>
      </c>
      <c r="P102" s="14">
        <f>P31*Inputs!$C$48</f>
        <v>11171.740152182501</v>
      </c>
      <c r="Q102" s="14">
        <f>Q31*Inputs!$C$48</f>
        <v>11191.213395541197</v>
      </c>
      <c r="R102" s="14">
        <f>R31*Inputs!$C$48</f>
        <v>11154.310962794296</v>
      </c>
      <c r="S102" s="14">
        <f>S31*Inputs!$C$48</f>
        <v>11136.451310944034</v>
      </c>
      <c r="T102" s="14">
        <f>T31*Inputs!$C$48</f>
        <v>11168.135238066066</v>
      </c>
      <c r="U102" s="14">
        <f>U31*Inputs!$C$48</f>
        <v>11143.27726447143</v>
      </c>
      <c r="V102" s="14">
        <f>V31*Inputs!$C$48</f>
        <v>11096.707434058988</v>
      </c>
      <c r="W102" s="14">
        <f>W31*Inputs!$C$48</f>
        <v>11136.091998520482</v>
      </c>
      <c r="X102" s="187">
        <f>X31*Inputs!$C$48</f>
        <v>11127.064434176815</v>
      </c>
      <c r="Y102" s="158">
        <f>Y31*Inputs!$C$48</f>
        <v>11093.513946432689</v>
      </c>
      <c r="Z102" s="158">
        <f>Z31*Inputs!$C$48</f>
        <v>11126.368804781388</v>
      </c>
      <c r="AA102" s="158">
        <f>AA31*Inputs!$C$48</f>
        <v>11119.959687352577</v>
      </c>
      <c r="AB102" s="158">
        <f>AB31*Inputs!$C$48</f>
        <v>11096.01416318038</v>
      </c>
      <c r="AC102" s="158">
        <f>AC31*Inputs!$C$48</f>
        <v>11084.663556226844</v>
      </c>
      <c r="AD102" s="158">
        <f>AD31*Inputs!$C$48</f>
        <v>11085.381324622866</v>
      </c>
      <c r="AE102" s="158">
        <f>AE31*Inputs!$C$48</f>
        <v>11108.809638287918</v>
      </c>
      <c r="AF102" s="158">
        <f>AF31*Inputs!$C$48</f>
        <v>11110.408176479286</v>
      </c>
      <c r="AG102" s="158">
        <f>AG31*Inputs!$C$48</f>
        <v>11175.152045489516</v>
      </c>
      <c r="AH102" s="187">
        <f>AH31*Inputs!$C$48</f>
        <v>11205.728058998657</v>
      </c>
    </row>
    <row r="103" spans="1:36">
      <c r="A103" s="10" t="s">
        <v>59</v>
      </c>
      <c r="B103" s="35">
        <v>0</v>
      </c>
      <c r="C103" s="331">
        <f>C32*Inputs!$C$53</f>
        <v>928.7600000000001</v>
      </c>
      <c r="D103" s="331">
        <f>D32*Inputs!$C$53</f>
        <v>934.27681544357131</v>
      </c>
      <c r="E103" s="331">
        <f>E32*Inputs!$C$53</f>
        <v>1065.8917172771778</v>
      </c>
      <c r="F103" s="331">
        <f>F32*Inputs!$C$53</f>
        <v>1098.1380897780725</v>
      </c>
      <c r="G103" s="331">
        <f>G32*Inputs!$C$53</f>
        <v>988.22907594177536</v>
      </c>
      <c r="H103" s="402">
        <f>H32*Inputs!$C$53</f>
        <v>1102.60374</v>
      </c>
      <c r="I103" s="14">
        <f>I32*Inputs!$C$53</f>
        <v>1080.9025470143897</v>
      </c>
      <c r="J103" s="14">
        <f>J32*Inputs!$C$53</f>
        <v>1106.0455147121131</v>
      </c>
      <c r="K103" s="14">
        <f>K32*Inputs!$C$53</f>
        <v>1119.8379741565334</v>
      </c>
      <c r="L103" s="14">
        <f>L32*Inputs!$C$53</f>
        <v>1130.5586642584515</v>
      </c>
      <c r="M103" s="14">
        <f>M32*Inputs!$C$53</f>
        <v>1139.077070855373</v>
      </c>
      <c r="N103" s="182">
        <f>N32*Inputs!$C$53</f>
        <v>1145.8696199999999</v>
      </c>
      <c r="O103" s="14">
        <f>O32*Inputs!$C$53</f>
        <v>1156.3548536684207</v>
      </c>
      <c r="P103" s="14">
        <f>P32*Inputs!$C$53</f>
        <v>1162.1074999559951</v>
      </c>
      <c r="Q103" s="14">
        <f>Q32*Inputs!$C$53</f>
        <v>1164.1331469767224</v>
      </c>
      <c r="R103" s="14">
        <f>R32*Inputs!$C$53</f>
        <v>1160.2944796538507</v>
      </c>
      <c r="S103" s="14">
        <f>S32*Inputs!$C$53</f>
        <v>1158.43668175674</v>
      </c>
      <c r="T103" s="14">
        <f>T32*Inputs!$C$53</f>
        <v>1161.7325093391046</v>
      </c>
      <c r="U103" s="14">
        <f>U32*Inputs!$C$53</f>
        <v>1159.1467315502796</v>
      </c>
      <c r="V103" s="14">
        <f>V32*Inputs!$C$53</f>
        <v>1154.30244154203</v>
      </c>
      <c r="W103" s="14">
        <f>W32*Inputs!$C$53</f>
        <v>1158.3993053358286</v>
      </c>
      <c r="X103" s="187">
        <f>X32*Inputs!$C$53</f>
        <v>1157.4602394349756</v>
      </c>
      <c r="Y103" s="158">
        <f>Y32*Inputs!$C$53</f>
        <v>1153.9702483589647</v>
      </c>
      <c r="Z103" s="158">
        <f>Z32*Inputs!$C$53</f>
        <v>1157.3878786275632</v>
      </c>
      <c r="AA103" s="158">
        <f>AA32*Inputs!$C$53</f>
        <v>1156.7211889864991</v>
      </c>
      <c r="AB103" s="158">
        <f>AB32*Inputs!$C$53</f>
        <v>1154.230326072412</v>
      </c>
      <c r="AC103" s="158">
        <f>AC32*Inputs!$C$53</f>
        <v>1153.0496124781039</v>
      </c>
      <c r="AD103" s="158">
        <f>AD32*Inputs!$C$53</f>
        <v>1153.1242762301147</v>
      </c>
      <c r="AE103" s="158">
        <f>AE32*Inputs!$C$53</f>
        <v>1155.5613378382975</v>
      </c>
      <c r="AF103" s="158">
        <f>AF32*Inputs!$C$53</f>
        <v>1155.7276210847615</v>
      </c>
      <c r="AG103" s="158">
        <f>AG32*Inputs!$C$53</f>
        <v>1162.4624121493619</v>
      </c>
      <c r="AH103" s="187">
        <f>AH32*Inputs!$C$53</f>
        <v>1165.6429922679199</v>
      </c>
    </row>
    <row r="104" spans="1:36">
      <c r="A104" s="10" t="s">
        <v>121</v>
      </c>
      <c r="B104" s="35">
        <v>1</v>
      </c>
      <c r="C104" s="331">
        <f>C34*Inputs!$C$46</f>
        <v>274.05</v>
      </c>
      <c r="D104" s="331">
        <f>D34*Inputs!$C$46</f>
        <v>351.96</v>
      </c>
      <c r="E104" s="331">
        <f>E34*Inputs!$C$46</f>
        <v>420.83204261137678</v>
      </c>
      <c r="F104" s="331">
        <f>F34*Inputs!$C$46</f>
        <v>501.70519316160426</v>
      </c>
      <c r="G104" s="331">
        <f>G34*Inputs!$C$46</f>
        <v>522.5745930437223</v>
      </c>
      <c r="H104" s="402">
        <f>H34*Inputs!$C$46</f>
        <v>274.70654248172002</v>
      </c>
      <c r="I104" s="14">
        <f>I34*Inputs!$C$46</f>
        <v>316.17020561608223</v>
      </c>
      <c r="J104" s="14">
        <f>J34*Inputs!$C$46</f>
        <v>379.83303568556863</v>
      </c>
      <c r="K104" s="14">
        <f>K34*Inputs!$C$46</f>
        <v>451.5030966986613</v>
      </c>
      <c r="L104" s="14">
        <f>L34*Inputs!$C$46</f>
        <v>535.16157712469567</v>
      </c>
      <c r="M104" s="14">
        <f>M34*Inputs!$C$46</f>
        <v>633.04077261217742</v>
      </c>
      <c r="N104" s="182">
        <f>N34*Inputs!$C$46</f>
        <v>747.65458196613542</v>
      </c>
      <c r="O104" s="14">
        <f>O34*Inputs!$C$46</f>
        <v>769.91260252379982</v>
      </c>
      <c r="P104" s="14">
        <f>P34*Inputs!$C$46</f>
        <v>789.59998984274148</v>
      </c>
      <c r="Q104" s="14">
        <f>Q34*Inputs!$C$46</f>
        <v>807.23585588083483</v>
      </c>
      <c r="R104" s="14">
        <f>R34*Inputs!$C$46</f>
        <v>821.16384707184591</v>
      </c>
      <c r="S104" s="14">
        <f>S34*Inputs!$C$46</f>
        <v>836.80636626862997</v>
      </c>
      <c r="T104" s="14">
        <f>T34*Inputs!$C$46</f>
        <v>856.5990902027786</v>
      </c>
      <c r="U104" s="14">
        <f>U34*Inputs!$C$46</f>
        <v>872.48271634718321</v>
      </c>
      <c r="V104" s="14">
        <f>V34*Inputs!$C$46</f>
        <v>886.97953952045771</v>
      </c>
      <c r="W104" s="14">
        <f>W34*Inputs!$C$46</f>
        <v>908.77617997393247</v>
      </c>
      <c r="X104" s="187">
        <f>X34*Inputs!$C$46</f>
        <v>927.12642260991015</v>
      </c>
      <c r="Y104" s="158">
        <f>Y34*Inputs!$C$46</f>
        <v>943.78830843668743</v>
      </c>
      <c r="Z104" s="158">
        <f>Z34*Inputs!$C$46</f>
        <v>966.52961547184873</v>
      </c>
      <c r="AA104" s="158">
        <f>AA34*Inputs!$C$46</f>
        <v>986.34856742617603</v>
      </c>
      <c r="AB104" s="158">
        <f>AB34*Inputs!$C$46</f>
        <v>1005.0068461209512</v>
      </c>
      <c r="AC104" s="158">
        <f>AC34*Inputs!$C$46</f>
        <v>1025.2003709362477</v>
      </c>
      <c r="AD104" s="158">
        <f>AD34*Inputs!$C$46</f>
        <v>1046.9612151971637</v>
      </c>
      <c r="AE104" s="158">
        <f>AE34*Inputs!$C$46</f>
        <v>1071.397886200197</v>
      </c>
      <c r="AF104" s="158">
        <f>AF34*Inputs!$C$46</f>
        <v>1094.2744416613373</v>
      </c>
      <c r="AG104" s="158">
        <f>AG34*Inputs!$C$46</f>
        <v>1124.0158408499406</v>
      </c>
      <c r="AH104" s="187">
        <f>AH34*Inputs!$C$46</f>
        <v>1151.043354770781</v>
      </c>
    </row>
    <row r="105" spans="1:36">
      <c r="A105" s="10" t="s">
        <v>50</v>
      </c>
      <c r="B105" s="35">
        <v>1</v>
      </c>
      <c r="C105" s="331">
        <f>C35*Inputs!$C$49</f>
        <v>0</v>
      </c>
      <c r="D105" s="331">
        <f>D35*Inputs!$C$49</f>
        <v>0</v>
      </c>
      <c r="E105" s="331">
        <f>E35*Inputs!$C$49</f>
        <v>4.885E-4</v>
      </c>
      <c r="F105" s="331">
        <f>F35*Inputs!$C$49</f>
        <v>5.0799999999999999E-4</v>
      </c>
      <c r="G105" s="331">
        <f>G35*Inputs!$C$49</f>
        <v>6.0341874999999992E-4</v>
      </c>
      <c r="H105" s="402">
        <f>H35*Inputs!$C$49</f>
        <v>6.5823050000000005E-4</v>
      </c>
      <c r="I105" s="14">
        <f>I35*Inputs!$C$49</f>
        <v>7.9093988535497331E-4</v>
      </c>
      <c r="J105" s="14">
        <f>J35*Inputs!$C$49</f>
        <v>9.9203913527380182E-4</v>
      </c>
      <c r="K105" s="14">
        <f>K35*Inputs!$C$49</f>
        <v>1.2311482147846669E-3</v>
      </c>
      <c r="L105" s="14">
        <f>L35*Inputs!$C$49</f>
        <v>1.5235196744434357E-3</v>
      </c>
      <c r="M105" s="14">
        <f>M35*Inputs!$C$49</f>
        <v>1.8815179266433633E-3</v>
      </c>
      <c r="N105" s="182">
        <f>N35*Inputs!$C$49</f>
        <v>2.3200172428825597E-3</v>
      </c>
      <c r="O105" s="14">
        <f>O35*Inputs!$C$49</f>
        <v>2.3890852225776998E-3</v>
      </c>
      <c r="P105" s="14">
        <f>P35*Inputs!$C$49</f>
        <v>2.4501763723532265E-3</v>
      </c>
      <c r="Q105" s="14">
        <f>Q35*Inputs!$C$49</f>
        <v>2.5049015279109531E-3</v>
      </c>
      <c r="R105" s="14">
        <f>R35*Inputs!$C$49</f>
        <v>2.5481209242756305E-3</v>
      </c>
      <c r="S105" s="14">
        <f>S35*Inputs!$C$49</f>
        <v>2.5966606044087012E-3</v>
      </c>
      <c r="T105" s="14">
        <f>T35*Inputs!$C$49</f>
        <v>2.658078620051811E-3</v>
      </c>
      <c r="U105" s="14">
        <f>U35*Inputs!$C$49</f>
        <v>2.707366469579346E-3</v>
      </c>
      <c r="V105" s="14">
        <f>V35*Inputs!$C$49</f>
        <v>2.8072704999999999E-3</v>
      </c>
      <c r="W105" s="14">
        <f>W35*Inputs!$C$49</f>
        <v>2.8337050000000002E-3</v>
      </c>
      <c r="X105" s="187">
        <f>X35*Inputs!$C$49</f>
        <v>2.8769291845046705E-3</v>
      </c>
      <c r="Y105" s="158">
        <f>Y35*Inputs!$C$49</f>
        <v>3.2064492499999995E-3</v>
      </c>
      <c r="Z105" s="158">
        <f>Z35*Inputs!$C$49</f>
        <v>3.6386574999999997E-3</v>
      </c>
      <c r="AA105" s="158">
        <f>AA35*Inputs!$C$49</f>
        <v>4.0120935000000002E-3</v>
      </c>
      <c r="AB105" s="158">
        <f>AB35*Inputs!$C$49</f>
        <v>4.3861879999999992E-3</v>
      </c>
      <c r="AC105" s="158">
        <f>AC35*Inputs!$C$49</f>
        <v>4.4887579999999998E-3</v>
      </c>
      <c r="AD105" s="158">
        <f>AD35*Inputs!$C$49</f>
        <v>4.5766697499999998E-3</v>
      </c>
      <c r="AE105" s="158">
        <f>AE35*Inputs!$C$49</f>
        <v>4.6438965000000004E-3</v>
      </c>
      <c r="AF105" s="158">
        <f>AF35*Inputs!$C$49</f>
        <v>4.7498927499999991E-3</v>
      </c>
      <c r="AG105" s="158">
        <f>AG35*Inputs!$C$49</f>
        <v>4.8693947499999996E-3</v>
      </c>
      <c r="AH105" s="187">
        <f>AH35*Inputs!$C$49</f>
        <v>3.5717569246362965E-3</v>
      </c>
    </row>
    <row r="106" spans="1:36">
      <c r="A106" s="10" t="s">
        <v>119</v>
      </c>
      <c r="B106" s="35">
        <v>1</v>
      </c>
      <c r="C106" s="331"/>
      <c r="D106" s="331"/>
      <c r="E106" s="331"/>
      <c r="F106" s="331"/>
      <c r="G106" s="331"/>
      <c r="H106" s="402"/>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331">
        <f>C37*Inputs!$C$52</f>
        <v>23.4</v>
      </c>
      <c r="D107" s="331">
        <f>D37*Inputs!$C$52</f>
        <v>27.75</v>
      </c>
      <c r="E107" s="331">
        <f>E37*Inputs!$C$52</f>
        <v>47.907072114492401</v>
      </c>
      <c r="F107" s="331">
        <f>F37*Inputs!$C$52</f>
        <v>56.22469944998106</v>
      </c>
      <c r="G107" s="331">
        <f>G37*Inputs!$C$52</f>
        <v>67.085429376337601</v>
      </c>
      <c r="H107" s="402">
        <f>H37*Inputs!$C$52</f>
        <v>59.960375232045429</v>
      </c>
      <c r="I107" s="14">
        <f>I37*Inputs!$C$52</f>
        <v>67.008550738380052</v>
      </c>
      <c r="J107" s="14">
        <f>J37*Inputs!$C$52</f>
        <v>75.735774602687457</v>
      </c>
      <c r="K107" s="14">
        <f>K37*Inputs!$C$52</f>
        <v>86.044986233740531</v>
      </c>
      <c r="L107" s="14">
        <f>L37*Inputs!$C$52</f>
        <v>97.477921449036117</v>
      </c>
      <c r="M107" s="14">
        <f>M37*Inputs!$C$52</f>
        <v>110.2070853706511</v>
      </c>
      <c r="N107" s="182">
        <f>N37*Inputs!$C$52</f>
        <v>124.40428291602024</v>
      </c>
      <c r="O107" s="14">
        <f>O37*Inputs!$C$52</f>
        <v>128.10785559971126</v>
      </c>
      <c r="P107" s="14">
        <f>P37*Inputs!$C$52</f>
        <v>131.38369361499119</v>
      </c>
      <c r="Q107" s="14">
        <f>Q37*Inputs!$C$52</f>
        <v>134.31817341487744</v>
      </c>
      <c r="R107" s="14">
        <f>R37*Inputs!$C$52</f>
        <v>136.63568981666529</v>
      </c>
      <c r="S107" s="14">
        <f>S37*Inputs!$C$52</f>
        <v>139.23849120465192</v>
      </c>
      <c r="T107" s="14">
        <f>T37*Inputs!$C$52</f>
        <v>142.53185646633105</v>
      </c>
      <c r="U107" s="14">
        <f>U37*Inputs!$C$52</f>
        <v>145.17477629624031</v>
      </c>
      <c r="V107" s="14">
        <f>V37*Inputs!$C$52</f>
        <v>147.58694220136846</v>
      </c>
      <c r="W107" s="14">
        <f>W37*Inputs!$C$52</f>
        <v>151.21374459247008</v>
      </c>
      <c r="X107" s="187">
        <f>X37*Inputs!$C$52</f>
        <v>154.2670914608334</v>
      </c>
      <c r="Y107" s="158">
        <f>Y37*Inputs!$C$52</f>
        <v>157.03950803970048</v>
      </c>
      <c r="Z107" s="158">
        <f>Z37*Inputs!$C$52</f>
        <v>160.82349607712072</v>
      </c>
      <c r="AA107" s="158">
        <f>AA37*Inputs!$C$52</f>
        <v>164.12122549053694</v>
      </c>
      <c r="AB107" s="158">
        <f>AB37*Inputs!$C$52</f>
        <v>167.2258273179834</v>
      </c>
      <c r="AC107" s="158">
        <f>AC37*Inputs!$C$52</f>
        <v>170.58588293027898</v>
      </c>
      <c r="AD107" s="158">
        <f>AD37*Inputs!$C$52</f>
        <v>174.20672909537217</v>
      </c>
      <c r="AE107" s="158">
        <f>AE37*Inputs!$C$52</f>
        <v>178.27281336251141</v>
      </c>
      <c r="AF107" s="158">
        <f>AF37*Inputs!$C$52</f>
        <v>182.07930575402142</v>
      </c>
      <c r="AG107" s="158">
        <f>AG37*Inputs!$C$52</f>
        <v>187.02805819695757</v>
      </c>
      <c r="AH107" s="187">
        <f>AH37*Inputs!$C$52</f>
        <v>191.52523987607316</v>
      </c>
    </row>
    <row r="108" spans="1:36">
      <c r="A108" s="9" t="s">
        <v>347</v>
      </c>
      <c r="B108" s="35">
        <v>1</v>
      </c>
      <c r="C108" s="331">
        <f>C38*Inputs!$C$54</f>
        <v>0</v>
      </c>
      <c r="D108" s="331">
        <f>D38*Inputs!$C$54</f>
        <v>0</v>
      </c>
      <c r="E108" s="331">
        <f>E38*Inputs!$C$54</f>
        <v>1.5800000000000002E-2</v>
      </c>
      <c r="F108" s="331">
        <f>F38*Inputs!$C$54</f>
        <v>1.5800000000000002E-2</v>
      </c>
      <c r="G108" s="331">
        <f>G38*Inputs!$C$54</f>
        <v>1.5800000000000002E-2</v>
      </c>
      <c r="H108" s="402">
        <f>H38*Inputs!$C$54</f>
        <v>1.5800000000000002E-2</v>
      </c>
      <c r="I108" s="14">
        <f>I38*Inputs!$C$54</f>
        <v>1.6761338464600699E-2</v>
      </c>
      <c r="J108" s="14">
        <f>J38*Inputs!$C$54</f>
        <v>1.856009346448162E-2</v>
      </c>
      <c r="K108" s="14">
        <f>K38*Inputs!$C$54</f>
        <v>2.0335170959198574E-2</v>
      </c>
      <c r="L108" s="14">
        <f>L38*Inputs!$C$54</f>
        <v>2.2216297868247793E-2</v>
      </c>
      <c r="M108" s="14">
        <f>M38*Inputs!$C$54</f>
        <v>2.4222452761550346E-2</v>
      </c>
      <c r="N108" s="182">
        <f>N38*Inputs!$C$54</f>
        <v>2.6368601942558256E-2</v>
      </c>
      <c r="O108" s="14">
        <f>O38*Inputs!$C$54</f>
        <v>2.7153607342472869E-2</v>
      </c>
      <c r="P108" s="14">
        <f>P38*Inputs!$C$54</f>
        <v>2.7847950548578783E-2</v>
      </c>
      <c r="Q108" s="14">
        <f>Q38*Inputs!$C$54</f>
        <v>2.8469939823690098E-2</v>
      </c>
      <c r="R108" s="14">
        <f>R38*Inputs!$C$54</f>
        <v>2.8961158180982074E-2</v>
      </c>
      <c r="S108" s="14">
        <f>S38*Inputs!$C$54</f>
        <v>2.9512845246142748E-2</v>
      </c>
      <c r="T108" s="14">
        <f>T38*Inputs!$C$54</f>
        <v>3.0210903509098927E-2</v>
      </c>
      <c r="U108" s="14">
        <f>U38*Inputs!$C$54</f>
        <v>3.0771094037330297E-2</v>
      </c>
      <c r="V108" s="14">
        <f>V38*Inputs!$C$54</f>
        <v>3.1282374204546673E-2</v>
      </c>
      <c r="W108" s="14">
        <f>W38*Inputs!$C$54</f>
        <v>3.2051107453383729E-2</v>
      </c>
      <c r="X108" s="187">
        <f>X38*Inputs!$C$54</f>
        <v>3.2698291668245366E-2</v>
      </c>
      <c r="Y108" s="158">
        <f>Y38*Inputs!$C$54</f>
        <v>3.3285930192205541E-2</v>
      </c>
      <c r="Z108" s="158">
        <f>Z38*Inputs!$C$54</f>
        <v>3.4087980346551854E-2</v>
      </c>
      <c r="AA108" s="158">
        <f>AA38*Inputs!$C$54</f>
        <v>3.4786963630554536E-2</v>
      </c>
      <c r="AB108" s="158">
        <f>AB38*Inputs!$C$54</f>
        <v>3.5445011793038918E-2</v>
      </c>
      <c r="AC108" s="158">
        <f>AC38*Inputs!$C$54</f>
        <v>3.6157205673094404E-2</v>
      </c>
      <c r="AD108" s="158">
        <f>AD38*Inputs!$C$54</f>
        <v>3.692467644648436E-2</v>
      </c>
      <c r="AE108" s="158">
        <f>AE38*Inputs!$C$54</f>
        <v>3.7786519423204636E-2</v>
      </c>
      <c r="AF108" s="158">
        <f>AF38*Inputs!$C$54</f>
        <v>3.8593339576951755E-2</v>
      </c>
      <c r="AG108" s="158">
        <f>AG38*Inputs!$C$54</f>
        <v>3.9642271978805918E-2</v>
      </c>
      <c r="AH108" s="187">
        <f>AH38*Inputs!$C$54</f>
        <v>4.0595489912950644E-2</v>
      </c>
    </row>
    <row r="109" spans="1:36">
      <c r="A109" s="9" t="s">
        <v>348</v>
      </c>
      <c r="B109" s="35">
        <v>1</v>
      </c>
      <c r="C109" s="331">
        <f>C39*Inputs!$C$54</f>
        <v>0</v>
      </c>
      <c r="D109" s="331">
        <f>D39*Inputs!$C$55</f>
        <v>0</v>
      </c>
      <c r="E109" s="331">
        <f>E39*Inputs!$C$55</f>
        <v>2.3E-3</v>
      </c>
      <c r="F109" s="331">
        <f>F39*Inputs!$C$55</f>
        <v>2.3E-3</v>
      </c>
      <c r="G109" s="331">
        <f>G39*Inputs!$C$55</f>
        <v>2.3E-3</v>
      </c>
      <c r="H109" s="402">
        <f>H39*Inputs!$C$55</f>
        <v>2.3E-3</v>
      </c>
      <c r="I109" s="14">
        <f>I39*Inputs!$C$55</f>
        <v>2.4399416752266838E-3</v>
      </c>
      <c r="J109" s="14">
        <f>J39*Inputs!$C$55</f>
        <v>2.7017857574878307E-3</v>
      </c>
      <c r="K109" s="14">
        <f>K39*Inputs!$C$55</f>
        <v>2.9601831143137168E-3</v>
      </c>
      <c r="L109" s="14">
        <f>L39*Inputs!$C$55</f>
        <v>3.2340180441120209E-3</v>
      </c>
      <c r="M109" s="14">
        <f>M39*Inputs!$C$55</f>
        <v>3.5260532500991006E-3</v>
      </c>
      <c r="N109" s="182">
        <f>N39*Inputs!$C$55</f>
        <v>3.8384673713850624E-3</v>
      </c>
      <c r="O109" s="14">
        <f>O39*Inputs!$C$55</f>
        <v>3.9527403093473166E-3</v>
      </c>
      <c r="P109" s="14">
        <f>P39*Inputs!$C$55</f>
        <v>4.0538155861855191E-3</v>
      </c>
      <c r="Q109" s="14">
        <f>Q39*Inputs!$C$55</f>
        <v>4.1443583287650142E-3</v>
      </c>
      <c r="R109" s="14">
        <f>R39*Inputs!$C$55</f>
        <v>4.2158647984973903E-3</v>
      </c>
      <c r="S109" s="14">
        <f>S39*Inputs!$C$55</f>
        <v>4.2961736750714132E-3</v>
      </c>
      <c r="T109" s="14">
        <f>T39*Inputs!$C$55</f>
        <v>4.3977897513245278E-3</v>
      </c>
      <c r="U109" s="14">
        <f>U39*Inputs!$C$55</f>
        <v>4.4793364737885878E-3</v>
      </c>
      <c r="V109" s="14">
        <f>V39*Inputs!$C$55</f>
        <v>4.5537633335732495E-3</v>
      </c>
      <c r="W109" s="14">
        <f>W39*Inputs!$C$55</f>
        <v>4.6656675406824407E-3</v>
      </c>
      <c r="X109" s="187">
        <f>X39*Inputs!$C$55</f>
        <v>4.7598779010736923E-3</v>
      </c>
      <c r="Y109" s="158">
        <f>Y39*Inputs!$C$55</f>
        <v>4.8454202178527059E-3</v>
      </c>
      <c r="Z109" s="158">
        <f>Z39*Inputs!$C$55</f>
        <v>4.9621743542448901E-3</v>
      </c>
      <c r="AA109" s="158">
        <f>AA39*Inputs!$C$55</f>
        <v>5.0639250854604698E-3</v>
      </c>
      <c r="AB109" s="158">
        <f>AB39*Inputs!$C$55</f>
        <v>5.1597169065816153E-3</v>
      </c>
      <c r="AC109" s="158">
        <f>AC39*Inputs!$C$55</f>
        <v>5.2633906992479197E-3</v>
      </c>
      <c r="AD109" s="158">
        <f>AD39*Inputs!$C$55</f>
        <v>5.3751111282856982E-3</v>
      </c>
      <c r="AE109" s="158">
        <f>AE39*Inputs!$C$55</f>
        <v>5.5005692831247253E-3</v>
      </c>
      <c r="AF109" s="158">
        <f>AF39*Inputs!$C$55</f>
        <v>5.6180177865182935E-3</v>
      </c>
      <c r="AG109" s="158">
        <f>AG39*Inputs!$C$55</f>
        <v>5.7707104779274442E-3</v>
      </c>
      <c r="AH109" s="187">
        <f>AH39*Inputs!$C$55</f>
        <v>5.9094700506193976E-3</v>
      </c>
    </row>
    <row r="110" spans="1:36">
      <c r="A110" s="9" t="s">
        <v>344</v>
      </c>
      <c r="B110" s="35">
        <v>1</v>
      </c>
      <c r="C110" s="331">
        <f>C40*Inputs!$C$51</f>
        <v>2.7000000000000001E-3</v>
      </c>
      <c r="D110" s="331">
        <f>D40*Inputs!$C$51</f>
        <v>2.8954450708487439E-3</v>
      </c>
      <c r="E110" s="331">
        <f>E40*Inputs!$C$51</f>
        <v>3.522427784236593E-3</v>
      </c>
      <c r="F110" s="331">
        <f>F40*Inputs!$C$51</f>
        <v>3.8706291644992194E-3</v>
      </c>
      <c r="G110" s="331">
        <f>G40*Inputs!$C$51</f>
        <v>3.7160446991228065E-3</v>
      </c>
      <c r="H110" s="402">
        <f>H40*Inputs!$C$51</f>
        <v>2.7000000000000001E-3</v>
      </c>
      <c r="I110" s="14">
        <f>I40*Inputs!$C$51</f>
        <v>2.8642793578748027E-3</v>
      </c>
      <c r="J110" s="14">
        <f>J40*Inputs!$C$51</f>
        <v>3.1716615413987575E-3</v>
      </c>
      <c r="K110" s="14">
        <f>K40*Inputs!$C$51</f>
        <v>3.4749975689769719E-3</v>
      </c>
      <c r="L110" s="14">
        <f>L40*Inputs!$C$51</f>
        <v>3.7964559648271546E-3</v>
      </c>
      <c r="M110" s="14">
        <f>M40*Inputs!$C$51</f>
        <v>4.1392799022902486E-3</v>
      </c>
      <c r="N110" s="182">
        <f>N40*Inputs!$C$51</f>
        <v>4.5060269142346383E-3</v>
      </c>
      <c r="O110" s="14">
        <f>O40*Inputs!$C$51</f>
        <v>4.6401734066251104E-3</v>
      </c>
      <c r="P110" s="14">
        <f>P40*Inputs!$C$51</f>
        <v>4.7588269924786529E-3</v>
      </c>
      <c r="Q110" s="14">
        <f>Q40*Inputs!$C$51</f>
        <v>4.8651162989850165E-3</v>
      </c>
      <c r="R110" s="14">
        <f>R40*Inputs!$C$51</f>
        <v>4.9490586764969367E-3</v>
      </c>
      <c r="S110" s="14">
        <f>S40*Inputs!$C$51</f>
        <v>5.0433343142142675E-3</v>
      </c>
      <c r="T110" s="14">
        <f>T40*Inputs!$C$51</f>
        <v>5.1626227515548804E-3</v>
      </c>
      <c r="U110" s="14">
        <f>U40*Inputs!$C$51</f>
        <v>5.2583515127083424E-3</v>
      </c>
      <c r="V110" s="14">
        <f>V40*Inputs!$C$51</f>
        <v>5.3457221741946845E-3</v>
      </c>
      <c r="W110" s="14">
        <f>W40*Inputs!$C$51</f>
        <v>5.4770879825402569E-3</v>
      </c>
      <c r="X110" s="187">
        <f>X40*Inputs!$C$51</f>
        <v>5.587682753434335E-3</v>
      </c>
      <c r="Y110" s="158">
        <f>Y40*Inputs!$C$51</f>
        <v>5.688101994870568E-3</v>
      </c>
      <c r="Z110" s="158">
        <f>Z40*Inputs!$C$51</f>
        <v>5.8251611984613929E-3</v>
      </c>
      <c r="AA110" s="158">
        <f>AA40*Inputs!$C$51</f>
        <v>5.9446077090188126E-3</v>
      </c>
      <c r="AB110" s="158">
        <f>AB40*Inputs!$C$51</f>
        <v>6.057058977291461E-3</v>
      </c>
      <c r="AC110" s="158">
        <f>AC40*Inputs!$C$51</f>
        <v>6.1787629947692973E-3</v>
      </c>
      <c r="AD110" s="158">
        <f>AD40*Inputs!$C$51</f>
        <v>6.3099130636397327E-3</v>
      </c>
      <c r="AE110" s="158">
        <f>AE40*Inputs!$C$51</f>
        <v>6.4571900280159826E-3</v>
      </c>
      <c r="AF110" s="158">
        <f>AF40*Inputs!$C$51</f>
        <v>6.5950643580866926E-3</v>
      </c>
      <c r="AG110" s="158">
        <f>AG40*Inputs!$C$51</f>
        <v>6.7743123001756953E-3</v>
      </c>
      <c r="AH110" s="187">
        <f>AH40*Inputs!$C$51</f>
        <v>6.9372039724662502E-3</v>
      </c>
    </row>
    <row r="111" spans="1:36">
      <c r="A111" s="10" t="s">
        <v>120</v>
      </c>
      <c r="B111" s="35">
        <v>1</v>
      </c>
      <c r="C111" s="331"/>
      <c r="D111" s="331"/>
      <c r="E111" s="331"/>
      <c r="F111" s="331"/>
      <c r="G111" s="331"/>
      <c r="H111" s="402"/>
      <c r="I111" s="14"/>
      <c r="J111" s="14"/>
      <c r="K111" s="14"/>
      <c r="L111" s="14"/>
      <c r="M111" s="14"/>
      <c r="N111" s="187"/>
      <c r="O111" s="14"/>
      <c r="P111" s="14"/>
      <c r="Q111" s="14"/>
      <c r="R111" s="14"/>
      <c r="S111" s="14"/>
      <c r="T111" s="14"/>
      <c r="U111" s="14"/>
      <c r="V111" s="14"/>
      <c r="W111" s="14"/>
      <c r="X111" s="187"/>
    </row>
    <row r="112" spans="1:36">
      <c r="A112" s="10" t="s">
        <v>53</v>
      </c>
      <c r="B112" s="35">
        <v>1</v>
      </c>
      <c r="C112" s="331">
        <f>C42*Inputs!$C$57</f>
        <v>607.24</v>
      </c>
      <c r="D112" s="331">
        <f>D42*Inputs!$C$57</f>
        <v>806.65000000000009</v>
      </c>
      <c r="E112" s="331">
        <f>E42*Inputs!$C$57</f>
        <v>820.23894044638416</v>
      </c>
      <c r="F112" s="331">
        <f>F42*Inputs!$C$57</f>
        <v>931.47454000000016</v>
      </c>
      <c r="G112" s="331">
        <f>G42*Inputs!$C$57</f>
        <v>1096.0714300000002</v>
      </c>
      <c r="H112" s="402">
        <f>H42*Inputs!$C$57</f>
        <v>1099.4704100000001</v>
      </c>
      <c r="I112" s="14">
        <f>I42*Inputs!$C$57</f>
        <v>1186.8231079275733</v>
      </c>
      <c r="J112" s="14">
        <f>J42*Inputs!$C$57</f>
        <v>1337.236725652908</v>
      </c>
      <c r="K112" s="14">
        <f>K42*Inputs!$C$57</f>
        <v>1490.8254684433207</v>
      </c>
      <c r="L112" s="14">
        <f>L42*Inputs!$C$57</f>
        <v>1657.3014260600103</v>
      </c>
      <c r="M112" s="14">
        <f>M42*Inputs!$C$57</f>
        <v>1838.6487504655408</v>
      </c>
      <c r="N112" s="182">
        <f>N42*Inputs!$C$57</f>
        <v>2036.6602931369966</v>
      </c>
      <c r="O112" s="14">
        <f>O42*Inputs!$C$57</f>
        <v>2097.2926061958019</v>
      </c>
      <c r="P112" s="14">
        <f>P42*Inputs!$C$57</f>
        <v>2150.9223451089961</v>
      </c>
      <c r="Q112" s="14">
        <f>Q42*Inputs!$C$57</f>
        <v>2198.9636050186364</v>
      </c>
      <c r="R112" s="14">
        <f>R42*Inputs!$C$57</f>
        <v>2236.9043697863676</v>
      </c>
      <c r="S112" s="14">
        <f>S42*Inputs!$C$57</f>
        <v>2279.5156216948949</v>
      </c>
      <c r="T112" s="14">
        <f>T42*Inputs!$C$57</f>
        <v>2333.4323044813432</v>
      </c>
      <c r="U112" s="14">
        <f>U42*Inputs!$C$57</f>
        <v>2376.7003475852462</v>
      </c>
      <c r="V112" s="14">
        <f>V42*Inputs!$C$57</f>
        <v>2416.1906481141259</v>
      </c>
      <c r="W112" s="14">
        <f>W42*Inputs!$C$57</f>
        <v>2475.5661314003182</v>
      </c>
      <c r="X112" s="187">
        <f>X42*Inputs!$C$57</f>
        <v>2525.5534001840451</v>
      </c>
      <c r="Y112" s="158">
        <f>Y42*Inputs!$C$57</f>
        <v>2570.9414738890709</v>
      </c>
      <c r="Z112" s="158">
        <f>Z42*Inputs!$C$57</f>
        <v>2632.8902911232944</v>
      </c>
      <c r="AA112" s="158">
        <f>AA42*Inputs!$C$57</f>
        <v>2686.8784207630811</v>
      </c>
      <c r="AB112" s="158">
        <f>AB42*Inputs!$C$57</f>
        <v>2737.7048000464142</v>
      </c>
      <c r="AC112" s="158">
        <f>AC42*Inputs!$C$57</f>
        <v>2792.7132908144863</v>
      </c>
      <c r="AD112" s="158">
        <f>AD42*Inputs!$C$57</f>
        <v>2851.991262915984</v>
      </c>
      <c r="AE112" s="158">
        <f>AE42*Inputs!$C$57</f>
        <v>2918.5583631903519</v>
      </c>
      <c r="AF112" s="158">
        <f>AF42*Inputs!$C$57</f>
        <v>2980.875606039217</v>
      </c>
      <c r="AG112" s="158">
        <f>AG42*Inputs!$C$57</f>
        <v>3061.8931350570606</v>
      </c>
      <c r="AH112" s="187">
        <f>AH42*Inputs!$C$57</f>
        <v>3135.5178619731023</v>
      </c>
      <c r="AI112" s="31" t="s">
        <v>0</v>
      </c>
    </row>
    <row r="113" spans="1:35" s="20" customFormat="1">
      <c r="A113" s="10" t="s">
        <v>384</v>
      </c>
      <c r="B113" s="37"/>
      <c r="C113" s="334">
        <f>SUM(C100:C112)</f>
        <v>12773.401199999998</v>
      </c>
      <c r="D113" s="334">
        <f t="shared" ref="D113:AH113" si="87">SUM(D100:D112)</f>
        <v>12912.384919877504</v>
      </c>
      <c r="E113" s="334">
        <f t="shared" si="87"/>
        <v>14431.301470264327</v>
      </c>
      <c r="F113" s="334">
        <f t="shared" si="87"/>
        <v>14794.065951190678</v>
      </c>
      <c r="G113" s="334">
        <f t="shared" si="87"/>
        <v>13453.490181402662</v>
      </c>
      <c r="H113" s="404">
        <f t="shared" si="87"/>
        <v>13102.748133444264</v>
      </c>
      <c r="I113" s="19">
        <f t="shared" si="87"/>
        <v>13014.494470767888</v>
      </c>
      <c r="J113" s="19">
        <f t="shared" si="87"/>
        <v>13509.16741323038</v>
      </c>
      <c r="K113" s="19">
        <f t="shared" si="87"/>
        <v>13896.555969103822</v>
      </c>
      <c r="L113" s="19">
        <f t="shared" si="87"/>
        <v>14277.5022288858</v>
      </c>
      <c r="M113" s="19">
        <f t="shared" si="87"/>
        <v>14665.571694874925</v>
      </c>
      <c r="N113" s="182">
        <f t="shared" si="87"/>
        <v>15070.265623632624</v>
      </c>
      <c r="O113" s="19">
        <f t="shared" si="87"/>
        <v>15268.144033202439</v>
      </c>
      <c r="P113" s="19">
        <f t="shared" si="87"/>
        <v>15405.792791474725</v>
      </c>
      <c r="Q113" s="19">
        <f t="shared" si="87"/>
        <v>15495.904161148248</v>
      </c>
      <c r="R113" s="19">
        <f t="shared" si="87"/>
        <v>15509.350023325607</v>
      </c>
      <c r="S113" s="19">
        <f t="shared" si="87"/>
        <v>15550.489920882792</v>
      </c>
      <c r="T113" s="19">
        <f t="shared" si="87"/>
        <v>15662.473427950255</v>
      </c>
      <c r="U113" s="19">
        <f t="shared" si="87"/>
        <v>15696.825052398875</v>
      </c>
      <c r="V113" s="19">
        <f t="shared" si="87"/>
        <v>15701.810994567186</v>
      </c>
      <c r="W113" s="19">
        <f t="shared" si="87"/>
        <v>15830.092387391011</v>
      </c>
      <c r="X113" s="182">
        <f t="shared" si="87"/>
        <v>15891.517510648086</v>
      </c>
      <c r="Y113" s="206">
        <f t="shared" si="87"/>
        <v>15919.300511058769</v>
      </c>
      <c r="Z113" s="206">
        <f t="shared" si="87"/>
        <v>16044.048600054615</v>
      </c>
      <c r="AA113" s="206">
        <f t="shared" si="87"/>
        <v>16114.078897608793</v>
      </c>
      <c r="AB113" s="206">
        <f t="shared" si="87"/>
        <v>16160.23301071382</v>
      </c>
      <c r="AC113" s="206">
        <f t="shared" si="87"/>
        <v>16226.26480150333</v>
      </c>
      <c r="AD113" s="206">
        <f t="shared" si="87"/>
        <v>16311.717994431889</v>
      </c>
      <c r="AE113" s="206">
        <f t="shared" si="87"/>
        <v>16432.654427054506</v>
      </c>
      <c r="AF113" s="206">
        <f t="shared" si="87"/>
        <v>16523.420707333098</v>
      </c>
      <c r="AG113" s="206">
        <f t="shared" si="87"/>
        <v>16710.608548432345</v>
      </c>
      <c r="AH113" s="182">
        <f t="shared" si="87"/>
        <v>16849.514521807392</v>
      </c>
      <c r="AI113" s="31" t="s">
        <v>0</v>
      </c>
    </row>
    <row r="114" spans="1:35" s="20" customFormat="1">
      <c r="A114" s="10" t="s">
        <v>385</v>
      </c>
      <c r="B114" s="37"/>
      <c r="C114" s="334">
        <f>SUM(C101:C103)</f>
        <v>11868.708500000001</v>
      </c>
      <c r="D114" s="334">
        <f t="shared" ref="D114:AH114" si="88">SUM(D101:D103)</f>
        <v>11726.022024432436</v>
      </c>
      <c r="E114" s="334">
        <f t="shared" si="88"/>
        <v>13142.30130416429</v>
      </c>
      <c r="F114" s="334">
        <f t="shared" si="88"/>
        <v>13304.639039949927</v>
      </c>
      <c r="G114" s="334">
        <f t="shared" si="88"/>
        <v>11767.736309519154</v>
      </c>
      <c r="H114" s="404">
        <f t="shared" si="88"/>
        <v>11668.589347500001</v>
      </c>
      <c r="I114" s="19">
        <f t="shared" si="88"/>
        <v>11444.469749986469</v>
      </c>
      <c r="J114" s="19">
        <f t="shared" si="88"/>
        <v>11716.336451709316</v>
      </c>
      <c r="K114" s="19">
        <f t="shared" si="88"/>
        <v>11868.154416228241</v>
      </c>
      <c r="L114" s="19">
        <f t="shared" si="88"/>
        <v>11987.530533960506</v>
      </c>
      <c r="M114" s="19">
        <f t="shared" si="88"/>
        <v>12083.641317122714</v>
      </c>
      <c r="N114" s="182">
        <f t="shared" si="88"/>
        <v>12161.509432499999</v>
      </c>
      <c r="O114" s="19">
        <f t="shared" si="88"/>
        <v>12272.792833276842</v>
      </c>
      <c r="P114" s="19">
        <f t="shared" si="88"/>
        <v>12333.847652138496</v>
      </c>
      <c r="Q114" s="19">
        <f t="shared" si="88"/>
        <v>12355.34654251792</v>
      </c>
      <c r="R114" s="19">
        <f t="shared" si="88"/>
        <v>12314.605442448146</v>
      </c>
      <c r="S114" s="19">
        <f t="shared" si="88"/>
        <v>12294.887992700775</v>
      </c>
      <c r="T114" s="19">
        <f t="shared" si="88"/>
        <v>12329.867747405171</v>
      </c>
      <c r="U114" s="19">
        <f t="shared" si="88"/>
        <v>12302.423996021709</v>
      </c>
      <c r="V114" s="19">
        <f t="shared" si="88"/>
        <v>12251.009875601017</v>
      </c>
      <c r="W114" s="19">
        <f t="shared" si="88"/>
        <v>12294.49130385631</v>
      </c>
      <c r="X114" s="182">
        <f t="shared" si="88"/>
        <v>12284.52467361179</v>
      </c>
      <c r="Y114" s="206">
        <f t="shared" si="88"/>
        <v>12247.484194791654</v>
      </c>
      <c r="Z114" s="206">
        <f t="shared" si="88"/>
        <v>12283.756683408952</v>
      </c>
      <c r="AA114" s="206">
        <f t="shared" si="88"/>
        <v>12276.680876339076</v>
      </c>
      <c r="AB114" s="206">
        <f t="shared" si="88"/>
        <v>12250.244489252793</v>
      </c>
      <c r="AC114" s="206">
        <f t="shared" si="88"/>
        <v>12237.713168704948</v>
      </c>
      <c r="AD114" s="206">
        <f t="shared" si="88"/>
        <v>12238.505600852981</v>
      </c>
      <c r="AE114" s="206">
        <f t="shared" si="88"/>
        <v>12264.370976126214</v>
      </c>
      <c r="AF114" s="206">
        <f t="shared" si="88"/>
        <v>12266.135797564048</v>
      </c>
      <c r="AG114" s="206">
        <f t="shared" si="88"/>
        <v>12337.614457638878</v>
      </c>
      <c r="AH114" s="182">
        <f t="shared" si="88"/>
        <v>12371.371051266577</v>
      </c>
      <c r="AI114" s="31"/>
    </row>
    <row r="115" spans="1:35" s="20" customFormat="1">
      <c r="A115" s="10" t="s">
        <v>386</v>
      </c>
      <c r="B115" s="37"/>
      <c r="C115" s="334">
        <f>SUMPRODUCT($B104:$B112,C104:C112)</f>
        <v>904.69270000000006</v>
      </c>
      <c r="D115" s="334">
        <f t="shared" ref="D115:AH115" si="89">SUMPRODUCT($B104:$B112,D104:D112)</f>
        <v>1186.362895445071</v>
      </c>
      <c r="E115" s="334">
        <f t="shared" si="89"/>
        <v>1289.0001661000376</v>
      </c>
      <c r="F115" s="334">
        <f t="shared" si="89"/>
        <v>1489.4269112407501</v>
      </c>
      <c r="G115" s="334">
        <f t="shared" si="89"/>
        <v>1685.7538718835092</v>
      </c>
      <c r="H115" s="404">
        <f t="shared" si="89"/>
        <v>1434.1587859442657</v>
      </c>
      <c r="I115" s="19">
        <f t="shared" si="89"/>
        <v>1570.0247207814186</v>
      </c>
      <c r="J115" s="19">
        <f t="shared" si="89"/>
        <v>1792.8309615210628</v>
      </c>
      <c r="K115" s="19">
        <f t="shared" si="89"/>
        <v>2028.4015528755799</v>
      </c>
      <c r="L115" s="19">
        <f t="shared" si="89"/>
        <v>2289.9716949252938</v>
      </c>
      <c r="M115" s="19">
        <f t="shared" si="89"/>
        <v>2581.93037775221</v>
      </c>
      <c r="N115" s="182">
        <f t="shared" si="89"/>
        <v>2908.7561911326234</v>
      </c>
      <c r="O115" s="19">
        <f t="shared" si="89"/>
        <v>2995.3511999255943</v>
      </c>
      <c r="P115" s="19">
        <f t="shared" si="89"/>
        <v>3071.9451393362283</v>
      </c>
      <c r="Q115" s="19">
        <f t="shared" si="89"/>
        <v>3140.5576186303279</v>
      </c>
      <c r="R115" s="19">
        <f t="shared" si="89"/>
        <v>3194.7445808774592</v>
      </c>
      <c r="S115" s="19">
        <f t="shared" si="89"/>
        <v>3255.6019281820163</v>
      </c>
      <c r="T115" s="19">
        <f t="shared" si="89"/>
        <v>3332.6056805450849</v>
      </c>
      <c r="U115" s="19">
        <f t="shared" si="89"/>
        <v>3394.4010563771631</v>
      </c>
      <c r="V115" s="19">
        <f t="shared" si="89"/>
        <v>3450.8011189661647</v>
      </c>
      <c r="W115" s="19">
        <f t="shared" si="89"/>
        <v>3535.601083534697</v>
      </c>
      <c r="X115" s="182">
        <f t="shared" si="89"/>
        <v>3606.9928370362959</v>
      </c>
      <c r="Y115" s="206">
        <f t="shared" si="89"/>
        <v>3671.8163162671135</v>
      </c>
      <c r="Z115" s="206">
        <f t="shared" si="89"/>
        <v>3760.2919166456632</v>
      </c>
      <c r="AA115" s="206">
        <f t="shared" si="89"/>
        <v>3837.3980212697193</v>
      </c>
      <c r="AB115" s="206">
        <f t="shared" si="89"/>
        <v>3909.9885214610258</v>
      </c>
      <c r="AC115" s="206">
        <f t="shared" si="89"/>
        <v>3988.5516327983801</v>
      </c>
      <c r="AD115" s="206">
        <f t="shared" si="89"/>
        <v>4073.2123935789082</v>
      </c>
      <c r="AE115" s="206">
        <f t="shared" si="89"/>
        <v>4168.2834509282948</v>
      </c>
      <c r="AF115" s="206">
        <f t="shared" si="89"/>
        <v>4257.2849097690469</v>
      </c>
      <c r="AG115" s="206">
        <f t="shared" si="89"/>
        <v>4372.9940907934651</v>
      </c>
      <c r="AH115" s="182">
        <f t="shared" si="89"/>
        <v>4478.1434705408174</v>
      </c>
    </row>
    <row r="116" spans="1:35" s="20" customFormat="1">
      <c r="A116" s="10" t="s">
        <v>142</v>
      </c>
      <c r="B116" s="37"/>
      <c r="C116" s="334">
        <f>C47*Inputs!$C$60</f>
        <v>1498.42</v>
      </c>
      <c r="D116" s="334">
        <f>D47*Inputs!$C$60</f>
        <v>884.41221057213238</v>
      </c>
      <c r="E116" s="334">
        <f>E47*Inputs!$C$60</f>
        <v>935.8828963374483</v>
      </c>
      <c r="F116" s="334">
        <f>F47*Inputs!$C$60</f>
        <v>818.20826153351516</v>
      </c>
      <c r="G116" s="334">
        <f>G47*Inputs!$C$60</f>
        <v>534.40836437406438</v>
      </c>
      <c r="H116" s="404">
        <f>H47*Inputs!$C$60</f>
        <v>674.98193915583465</v>
      </c>
      <c r="I116" s="19">
        <f>I47*Inputs!$C$60</f>
        <v>859.03430674483593</v>
      </c>
      <c r="J116" s="19">
        <f>J47*Inputs!$C$60</f>
        <v>783.16864272094529</v>
      </c>
      <c r="K116" s="19">
        <f>K47*Inputs!$C$60</f>
        <v>746.19112849564817</v>
      </c>
      <c r="L116" s="19">
        <f>L47*Inputs!$C$60</f>
        <v>646.84920222030723</v>
      </c>
      <c r="M116" s="19">
        <f>M47*Inputs!$C$60</f>
        <v>562.87689311857218</v>
      </c>
      <c r="N116" s="182">
        <f>N47*Inputs!$C$60</f>
        <v>472.31062688815234</v>
      </c>
      <c r="O116" s="19">
        <f>O47*Inputs!$C$60</f>
        <v>448.02589595715403</v>
      </c>
      <c r="P116" s="19">
        <f>P47*Inputs!$C$60</f>
        <v>432.05049631026822</v>
      </c>
      <c r="Q116" s="19">
        <f>Q47*Inputs!$C$60</f>
        <v>430.56858698179934</v>
      </c>
      <c r="R116" s="19">
        <f>R47*Inputs!$C$60</f>
        <v>438.9627091793854</v>
      </c>
      <c r="S116" s="19">
        <f>S47*Inputs!$C$60</f>
        <v>440.25441242954611</v>
      </c>
      <c r="T116" s="19">
        <f>T47*Inputs!$C$60</f>
        <v>436.93606656233192</v>
      </c>
      <c r="U116" s="19">
        <f>U47*Inputs!$C$60</f>
        <v>440.43244985353624</v>
      </c>
      <c r="V116" s="19">
        <f>V47*Inputs!$C$60</f>
        <v>446.32405939678563</v>
      </c>
      <c r="W116" s="19">
        <f>W47*Inputs!$C$60</f>
        <v>446.5507874226999</v>
      </c>
      <c r="X116" s="182">
        <f>X47*Inputs!$C$60</f>
        <v>446.82038982308762</v>
      </c>
      <c r="Y116" s="206">
        <f>Y47*Inputs!$C$60</f>
        <v>448.46925707978306</v>
      </c>
      <c r="Z116" s="206">
        <f>Z47*Inputs!$C$60</f>
        <v>438.21275731878148</v>
      </c>
      <c r="AA116" s="206">
        <f>AA47*Inputs!$C$60</f>
        <v>434.388003464723</v>
      </c>
      <c r="AB116" s="206">
        <f>AB47*Inputs!$C$60</f>
        <v>432.75587267679771</v>
      </c>
      <c r="AC116" s="206">
        <f>AC47*Inputs!$C$60</f>
        <v>430.67081718847402</v>
      </c>
      <c r="AD116" s="206">
        <f>AD47*Inputs!$C$60</f>
        <v>435.06908105427317</v>
      </c>
      <c r="AE116" s="206">
        <f>AE47*Inputs!$C$60</f>
        <v>436.8374543003066</v>
      </c>
      <c r="AF116" s="206">
        <f>AF47*Inputs!$C$60</f>
        <v>433.30158239177547</v>
      </c>
      <c r="AG116" s="206">
        <f>AG47*Inputs!$C$60</f>
        <v>425.2116101627393</v>
      </c>
      <c r="AH116" s="182">
        <f>AH47*Inputs!$C$60</f>
        <v>417.38296624499714</v>
      </c>
      <c r="AI116" s="31"/>
    </row>
    <row r="117" spans="1:35" s="20" customFormat="1">
      <c r="A117" s="10" t="s">
        <v>222</v>
      </c>
      <c r="B117" s="37"/>
      <c r="C117" s="334">
        <f>C48*Inputs!$C$61</f>
        <v>642.17999999999995</v>
      </c>
      <c r="D117" s="334">
        <f>D48*Inputs!$C$61</f>
        <v>1074.4254825045991</v>
      </c>
      <c r="E117" s="334">
        <f>E48*Inputs!$C$61</f>
        <v>1315.4477163263598</v>
      </c>
      <c r="F117" s="334">
        <f>F48*Inputs!$C$61</f>
        <v>1373.6247166306359</v>
      </c>
      <c r="G117" s="334">
        <f>G48*Inputs!$C$61</f>
        <v>1198.3316738566202</v>
      </c>
      <c r="H117" s="404">
        <f>H48*Inputs!$C$61</f>
        <v>1428.2590544660459</v>
      </c>
      <c r="I117" s="19">
        <f>I48*Inputs!$C$61</f>
        <v>1085.244590305736</v>
      </c>
      <c r="J117" s="19">
        <f>J48*Inputs!$C$61</f>
        <v>1075.8664663121419</v>
      </c>
      <c r="K117" s="19">
        <f>K48*Inputs!$C$61</f>
        <v>988.90060204626138</v>
      </c>
      <c r="L117" s="19">
        <f>L48*Inputs!$C$61</f>
        <v>940.34634558838354</v>
      </c>
      <c r="M117" s="19">
        <f>M48*Inputs!$C$61</f>
        <v>852.32758323771282</v>
      </c>
      <c r="N117" s="182">
        <f>N48*Inputs!$C$61</f>
        <v>745.4909842662139</v>
      </c>
      <c r="O117" s="19">
        <f>O48*Inputs!$C$61</f>
        <v>837.5917248796012</v>
      </c>
      <c r="P117" s="19">
        <f>P48*Inputs!$C$61</f>
        <v>917.4443658482428</v>
      </c>
      <c r="Q117" s="19">
        <f>Q48*Inputs!$C$61</f>
        <v>979.40468081011556</v>
      </c>
      <c r="R117" s="19">
        <f>R48*Inputs!$C$61</f>
        <v>1024.8661616717832</v>
      </c>
      <c r="S117" s="19">
        <f>S48*Inputs!$C$61</f>
        <v>1080.2769691829897</v>
      </c>
      <c r="T117" s="19">
        <f>T48*Inputs!$C$61</f>
        <v>1147.8187830471973</v>
      </c>
      <c r="U117" s="19">
        <f>U48*Inputs!$C$61</f>
        <v>1201.1665165319537</v>
      </c>
      <c r="V117" s="19">
        <f>V48*Inputs!$C$61</f>
        <v>1249.169713078368</v>
      </c>
      <c r="W117" s="19">
        <f>W48*Inputs!$C$61</f>
        <v>1316.6653544074477</v>
      </c>
      <c r="X117" s="182">
        <f>X48*Inputs!$C$61</f>
        <v>1377.265836108573</v>
      </c>
      <c r="Y117" s="206">
        <f>Y48*Inputs!$C$61</f>
        <v>1383.2306544655737</v>
      </c>
      <c r="Z117" s="206">
        <f>Z48*Inputs!$C$61</f>
        <v>1411.6367825671462</v>
      </c>
      <c r="AA117" s="206">
        <f>AA48*Inputs!$C$61</f>
        <v>1426.5842107945598</v>
      </c>
      <c r="AB117" s="206">
        <f>AB48*Inputs!$C$61</f>
        <v>1435.841277095557</v>
      </c>
      <c r="AC117" s="206">
        <f>AC48*Inputs!$C$61</f>
        <v>1447.1125946475661</v>
      </c>
      <c r="AD117" s="206">
        <f>AD48*Inputs!$C$61</f>
        <v>1453.389950115368</v>
      </c>
      <c r="AE117" s="206">
        <f>AE48*Inputs!$C$61</f>
        <v>1465.6451077978004</v>
      </c>
      <c r="AF117" s="206">
        <f>AF48*Inputs!$C$61</f>
        <v>1478.8797668179398</v>
      </c>
      <c r="AG117" s="206">
        <f>AG48*Inputs!$C$61</f>
        <v>1507.0354695706385</v>
      </c>
      <c r="AH117" s="182">
        <f>AH48*Inputs!$C$61</f>
        <v>1528.4360109915999</v>
      </c>
      <c r="AI117" s="31"/>
    </row>
    <row r="118" spans="1:35" s="20" customFormat="1">
      <c r="A118" s="10" t="s">
        <v>58</v>
      </c>
      <c r="B118" s="37"/>
      <c r="C118" s="334">
        <f>SUM(C113,C116,C117)</f>
        <v>14914.001199999999</v>
      </c>
      <c r="D118" s="334">
        <f>SUM(D113,D116,D117)</f>
        <v>14871.222612954236</v>
      </c>
      <c r="E118" s="334">
        <f t="shared" ref="E118:AH118" si="90">SUM(E113,E116,E117)</f>
        <v>16682.632082928136</v>
      </c>
      <c r="F118" s="334">
        <f t="shared" si="90"/>
        <v>16985.898929354829</v>
      </c>
      <c r="G118" s="334">
        <f t="shared" si="90"/>
        <v>15186.230219633348</v>
      </c>
      <c r="H118" s="404">
        <f t="shared" si="90"/>
        <v>15205.989127066143</v>
      </c>
      <c r="I118" s="19">
        <f t="shared" si="90"/>
        <v>14958.77336781846</v>
      </c>
      <c r="J118" s="19">
        <f t="shared" si="90"/>
        <v>15368.202522263467</v>
      </c>
      <c r="K118" s="19">
        <f t="shared" si="90"/>
        <v>15631.647699645731</v>
      </c>
      <c r="L118" s="19">
        <f t="shared" si="90"/>
        <v>15864.697776694491</v>
      </c>
      <c r="M118" s="19">
        <f t="shared" si="90"/>
        <v>16080.776171231209</v>
      </c>
      <c r="N118" s="182">
        <f t="shared" si="90"/>
        <v>16288.067234786991</v>
      </c>
      <c r="O118" s="19">
        <f t="shared" si="90"/>
        <v>16553.761654039194</v>
      </c>
      <c r="P118" s="19">
        <f t="shared" si="90"/>
        <v>16755.287653633237</v>
      </c>
      <c r="Q118" s="19">
        <f t="shared" si="90"/>
        <v>16905.877428940163</v>
      </c>
      <c r="R118" s="19">
        <f t="shared" si="90"/>
        <v>16973.178894176774</v>
      </c>
      <c r="S118" s="19">
        <f t="shared" si="90"/>
        <v>17071.021302495326</v>
      </c>
      <c r="T118" s="19">
        <f t="shared" si="90"/>
        <v>17247.228277559785</v>
      </c>
      <c r="U118" s="19">
        <f t="shared" si="90"/>
        <v>17338.424018784368</v>
      </c>
      <c r="V118" s="19">
        <f t="shared" si="90"/>
        <v>17397.30476704234</v>
      </c>
      <c r="W118" s="19">
        <f t="shared" si="90"/>
        <v>17593.308529221158</v>
      </c>
      <c r="X118" s="182">
        <f t="shared" si="90"/>
        <v>17715.603736579746</v>
      </c>
      <c r="Y118" s="206">
        <f t="shared" si="90"/>
        <v>17751.000422604127</v>
      </c>
      <c r="Z118" s="206">
        <f t="shared" si="90"/>
        <v>17893.898139940546</v>
      </c>
      <c r="AA118" s="206">
        <f t="shared" si="90"/>
        <v>17975.051111868077</v>
      </c>
      <c r="AB118" s="206">
        <f t="shared" si="90"/>
        <v>18028.830160486177</v>
      </c>
      <c r="AC118" s="206">
        <f t="shared" si="90"/>
        <v>18104.048213339371</v>
      </c>
      <c r="AD118" s="206">
        <f t="shared" si="90"/>
        <v>18200.17702560153</v>
      </c>
      <c r="AE118" s="206">
        <f t="shared" si="90"/>
        <v>18335.136989152616</v>
      </c>
      <c r="AF118" s="206">
        <f t="shared" si="90"/>
        <v>18435.602056542812</v>
      </c>
      <c r="AG118" s="206">
        <f t="shared" si="90"/>
        <v>18642.855628165722</v>
      </c>
      <c r="AH118" s="182">
        <f t="shared" si="90"/>
        <v>18795.333499043991</v>
      </c>
      <c r="AI118" s="31"/>
    </row>
    <row r="119" spans="1:35" s="1" customFormat="1">
      <c r="A119" s="1" t="s">
        <v>335</v>
      </c>
      <c r="B119" s="13"/>
      <c r="C119" s="341">
        <f>C118-'Output - Jobs vs Yr (BAU)'!C55</f>
        <v>1.2100000000009459</v>
      </c>
      <c r="D119" s="341">
        <f>D118-'Output - Jobs vs Yr (BAU)'!D55</f>
        <v>70.461412954238767</v>
      </c>
      <c r="E119" s="341">
        <f>E118-'Output - Jobs vs Yr (BAU)'!E55</f>
        <v>-191.08618235977337</v>
      </c>
      <c r="F119" s="341">
        <f>F118-'Output - Jobs vs Yr (BAU)'!F55</f>
        <v>-29.961723074335168</v>
      </c>
      <c r="G119" s="341">
        <f>G118-'Output - Jobs vs Yr (BAU)'!G55</f>
        <v>219.63765198531837</v>
      </c>
      <c r="H119" s="405">
        <f>H118-'Output - Jobs vs Yr (BAU)'!H55</f>
        <v>-0.11330000000089058</v>
      </c>
      <c r="I119" s="15">
        <f>I118-'Output - Jobs vs Yr (BAU)'!I55</f>
        <v>-87.878570434875655</v>
      </c>
      <c r="J119" s="15">
        <f>J118-'Output - Jobs vs Yr (BAU)'!J55</f>
        <v>-8.2065223817899096</v>
      </c>
      <c r="K119" s="15">
        <f>K118-'Output - Jobs vs Yr (BAU)'!K55</f>
        <v>71.889888811540004</v>
      </c>
      <c r="L119" s="15">
        <f>L118-'Output - Jobs vs Yr (BAU)'!L55</f>
        <v>187.03477683511846</v>
      </c>
      <c r="M119" s="15">
        <f>M118-'Output - Jobs vs Yr (BAU)'!M55</f>
        <v>300.33063577771463</v>
      </c>
      <c r="N119" s="182">
        <f>N118-'Output - Jobs vs Yr (BAU)'!N55</f>
        <v>443.33609206594701</v>
      </c>
      <c r="O119" s="15">
        <f>O118-'Output - Jobs vs Yr (BAU)'!O55</f>
        <v>481.50330440629659</v>
      </c>
      <c r="P119" s="15">
        <f>P118-'Output - Jobs vs Yr (BAU)'!P55</f>
        <v>523.18724317089072</v>
      </c>
      <c r="Q119" s="15">
        <f>Q118-'Output - Jobs vs Yr (BAU)'!Q55</f>
        <v>549.32342252061426</v>
      </c>
      <c r="R119" s="15">
        <f>R118-'Output - Jobs vs Yr (BAU)'!R55</f>
        <v>549.32412326752456</v>
      </c>
      <c r="S119" s="15">
        <f>S118-'Output - Jobs vs Yr (BAU)'!S55</f>
        <v>567.81153313077812</v>
      </c>
      <c r="T119" s="15">
        <f>T118-'Output - Jobs vs Yr (BAU)'!T55</f>
        <v>589.75441177252651</v>
      </c>
      <c r="U119" s="15">
        <f>U118-'Output - Jobs vs Yr (BAU)'!U55</f>
        <v>600.10474280877679</v>
      </c>
      <c r="V119" s="15">
        <f>V118-'Output - Jobs vs Yr (BAU)'!V55</f>
        <v>605.32750984844824</v>
      </c>
      <c r="W119" s="15">
        <f>W118-'Output - Jobs vs Yr (BAU)'!W55</f>
        <v>628.74105747465364</v>
      </c>
      <c r="X119" s="190">
        <f>X118-'Output - Jobs vs Yr (BAU)'!X55</f>
        <v>648.80377523565403</v>
      </c>
      <c r="Y119" s="130">
        <f>Y118-'Output - Jobs vs Yr (BAU)'!Y55</f>
        <v>652.37949850062432</v>
      </c>
      <c r="Z119" s="130">
        <f>Z118-'Output - Jobs vs Yr (BAU)'!Z55</f>
        <v>680.74799574759891</v>
      </c>
      <c r="AA119" s="130">
        <f>AA118-'Output - Jobs vs Yr (BAU)'!AA55</f>
        <v>700.09832518708936</v>
      </c>
      <c r="AB119" s="130">
        <f>AB118-'Output - Jobs vs Yr (BAU)'!AB55</f>
        <v>711.13027238172435</v>
      </c>
      <c r="AC119" s="130">
        <f>AC118-'Output - Jobs vs Yr (BAU)'!AC55</f>
        <v>724.88673250111606</v>
      </c>
      <c r="AD119" s="130">
        <f>AD118-'Output - Jobs vs Yr (BAU)'!AD55</f>
        <v>712.24701710259978</v>
      </c>
      <c r="AE119" s="130">
        <f>AE118-'Output - Jobs vs Yr (BAU)'!AE55</f>
        <v>701.74895949925849</v>
      </c>
      <c r="AF119" s="130">
        <f>AF118-'Output - Jobs vs Yr (BAU)'!AF55</f>
        <v>717.42509753878403</v>
      </c>
      <c r="AG119" s="130">
        <f>AG118-'Output - Jobs vs Yr (BAU)'!AG55</f>
        <v>753.28872490797949</v>
      </c>
      <c r="AH119" s="190">
        <f>AH118-'Output - Jobs vs Yr (BAU)'!AH55</f>
        <v>785.14884381649244</v>
      </c>
    </row>
    <row r="120" spans="1:35" s="1" customFormat="1">
      <c r="B120" s="13"/>
      <c r="C120" s="328"/>
      <c r="D120" s="341"/>
      <c r="E120" s="341"/>
      <c r="F120" s="341"/>
      <c r="G120" s="341"/>
      <c r="H120" s="405"/>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80"/>
    </row>
    <row r="121" spans="1:35" hidden="1">
      <c r="W121" s="2" t="s">
        <v>133</v>
      </c>
      <c r="X121" s="187">
        <f>X100</f>
        <v>0</v>
      </c>
    </row>
    <row r="122" spans="1:35" hidden="1">
      <c r="W122" s="2" t="s">
        <v>136</v>
      </c>
      <c r="X122" s="187">
        <f>X103-'Output - Jobs vs Yr (BAU)'!X43</f>
        <v>11.590619434975679</v>
      </c>
    </row>
    <row r="123" spans="1:35" hidden="1">
      <c r="W123" s="2" t="s">
        <v>134</v>
      </c>
      <c r="X123" s="187">
        <f>X115-'Output - Jobs vs Yr (BAU)'!X51</f>
        <v>1745.8182106500112</v>
      </c>
    </row>
    <row r="124" spans="1:35" hidden="1">
      <c r="W124" s="2" t="s">
        <v>137</v>
      </c>
      <c r="X124" s="187">
        <f>SUM(X101,X106,X111)</f>
        <v>0</v>
      </c>
    </row>
    <row r="125" spans="1:35" hidden="1">
      <c r="W125" s="2" t="s">
        <v>132</v>
      </c>
      <c r="X125" s="187">
        <f>SUM(X121:X124)</f>
        <v>1757.4088300849869</v>
      </c>
    </row>
    <row r="126" spans="1:35">
      <c r="A126" s="1" t="s">
        <v>140</v>
      </c>
      <c r="C126" s="328">
        <v>2009</v>
      </c>
      <c r="D126" s="328">
        <v>2010</v>
      </c>
      <c r="E126" s="328">
        <v>2011</v>
      </c>
      <c r="F126" s="328">
        <v>2012</v>
      </c>
      <c r="G126" s="328">
        <v>2013</v>
      </c>
      <c r="H126" s="400">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331">
        <v>0</v>
      </c>
      <c r="D127" s="331">
        <f xml:space="preserve"> IF(D100&gt; 0, D100*Inputs!$H44, 0)</f>
        <v>0</v>
      </c>
      <c r="E127" s="331">
        <f xml:space="preserve"> IF(E100&gt; 0, E100*Inputs!$H44, 0)</f>
        <v>0</v>
      </c>
      <c r="F127" s="331">
        <f xml:space="preserve"> IF(F100&gt; 0, F100*Inputs!$H44, 0)</f>
        <v>0</v>
      </c>
      <c r="G127" s="331">
        <f xml:space="preserve"> IF(G100&gt; 0, G100*Inputs!$H44, 0)</f>
        <v>0</v>
      </c>
      <c r="H127" s="402">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331">
        <f>C101*Inputs!$H47</f>
        <v>0</v>
      </c>
      <c r="D128" s="331">
        <f>D101*Inputs!$H47</f>
        <v>0</v>
      </c>
      <c r="E128" s="331">
        <f>E101*Inputs!$H47</f>
        <v>0</v>
      </c>
      <c r="F128" s="331">
        <f>F101*Inputs!$H47</f>
        <v>0</v>
      </c>
      <c r="G128" s="331">
        <f>G101*Inputs!$H47</f>
        <v>0</v>
      </c>
      <c r="H128" s="402">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331">
        <f>C102*Inputs!$H48</f>
        <v>9845.9536500000013</v>
      </c>
      <c r="D129" s="331">
        <f>D102*Inputs!$H48</f>
        <v>9712.5706880899779</v>
      </c>
      <c r="E129" s="331">
        <f>E102*Inputs!$H48</f>
        <v>10868.768628198401</v>
      </c>
      <c r="F129" s="331">
        <f>F102*Inputs!$H48</f>
        <v>10985.850855154669</v>
      </c>
      <c r="G129" s="331">
        <f>G102*Inputs!$H48</f>
        <v>9701.5565102196415</v>
      </c>
      <c r="H129" s="402">
        <f>H102*Inputs!$H48</f>
        <v>9509.3870467500001</v>
      </c>
      <c r="I129" s="14">
        <f>I102*Inputs!$H48</f>
        <v>9327.2104826748709</v>
      </c>
      <c r="J129" s="14">
        <f>J102*Inputs!$H48</f>
        <v>9549.2618432974814</v>
      </c>
      <c r="K129" s="14">
        <f>K102*Inputs!$H48</f>
        <v>9673.4847978645375</v>
      </c>
      <c r="L129" s="14">
        <f>L102*Inputs!$H48</f>
        <v>9771.2746827318497</v>
      </c>
      <c r="M129" s="14">
        <f>M102*Inputs!$H48</f>
        <v>9850.1078216406058</v>
      </c>
      <c r="N129" s="182">
        <f>N102*Inputs!$H48</f>
        <v>9914.0758312500002</v>
      </c>
      <c r="O129" s="14">
        <f>O102*Inputs!$H48</f>
        <v>10004.79418164758</v>
      </c>
      <c r="P129" s="14">
        <f>P102*Inputs!$H48</f>
        <v>10054.566136964251</v>
      </c>
      <c r="Q129" s="14">
        <f>Q102*Inputs!$H48</f>
        <v>10072.092055987077</v>
      </c>
      <c r="R129" s="14">
        <f>R102*Inputs!$H48</f>
        <v>10038.879866514866</v>
      </c>
      <c r="S129" s="14">
        <f>S102*Inputs!$H48</f>
        <v>10022.806179849631</v>
      </c>
      <c r="T129" s="14">
        <f>T102*Inputs!$H48</f>
        <v>10051.32171425946</v>
      </c>
      <c r="U129" s="14">
        <f>U102*Inputs!$H48</f>
        <v>10028.949538024286</v>
      </c>
      <c r="V129" s="14">
        <f>V102*Inputs!$H48</f>
        <v>9987.036690653089</v>
      </c>
      <c r="W129" s="14">
        <f>W102*Inputs!$H48</f>
        <v>10022.482798668434</v>
      </c>
      <c r="X129" s="187">
        <f>X102*Inputs!$H48</f>
        <v>10014.357990759134</v>
      </c>
      <c r="Y129" s="158">
        <f>Y102*Inputs!$H48</f>
        <v>9984.1625517894208</v>
      </c>
      <c r="Z129" s="158">
        <f>Z102*Inputs!$H48</f>
        <v>10013.731924303251</v>
      </c>
      <c r="AA129" s="158">
        <f>AA102*Inputs!$H48</f>
        <v>10007.96371861732</v>
      </c>
      <c r="AB129" s="158">
        <f>AB102*Inputs!$H48</f>
        <v>9986.4127468623428</v>
      </c>
      <c r="AC129" s="158">
        <f>AC102*Inputs!$H48</f>
        <v>9976.1972006041597</v>
      </c>
      <c r="AD129" s="158">
        <f>AD102*Inputs!$H48</f>
        <v>9976.8431921605788</v>
      </c>
      <c r="AE129" s="158">
        <f>AE102*Inputs!$H48</f>
        <v>9997.9286744591263</v>
      </c>
      <c r="AF129" s="158">
        <f>AF102*Inputs!$H48</f>
        <v>9999.3673588313577</v>
      </c>
      <c r="AG129" s="158">
        <f>AG102*Inputs!$H48</f>
        <v>10057.636840940564</v>
      </c>
      <c r="AH129" s="187">
        <f>AH102*Inputs!$H48</f>
        <v>10085.155253098792</v>
      </c>
    </row>
    <row r="130" spans="1:35">
      <c r="A130" s="10" t="s">
        <v>59</v>
      </c>
      <c r="B130" s="35">
        <v>0</v>
      </c>
      <c r="C130" s="331">
        <f>C103*Inputs!$H53</f>
        <v>835.88400000000013</v>
      </c>
      <c r="D130" s="331">
        <f>D103*Inputs!$H53</f>
        <v>840.84913389921417</v>
      </c>
      <c r="E130" s="331">
        <f>E103*Inputs!$H53</f>
        <v>959.30254554946009</v>
      </c>
      <c r="F130" s="331">
        <f>F103*Inputs!$H53</f>
        <v>988.32428080026534</v>
      </c>
      <c r="G130" s="331">
        <f>G103*Inputs!$H53</f>
        <v>889.40616834759783</v>
      </c>
      <c r="H130" s="402">
        <f>H103*Inputs!$H53</f>
        <v>992.34336600000006</v>
      </c>
      <c r="I130" s="14">
        <f>I103*Inputs!$H53</f>
        <v>972.81229231295072</v>
      </c>
      <c r="J130" s="14">
        <f>J103*Inputs!$H53</f>
        <v>995.44096324090185</v>
      </c>
      <c r="K130" s="14">
        <f>K103*Inputs!$H53</f>
        <v>1007.8541767408801</v>
      </c>
      <c r="L130" s="14">
        <f>L103*Inputs!$H53</f>
        <v>1017.5027978326063</v>
      </c>
      <c r="M130" s="14">
        <f>M103*Inputs!$H53</f>
        <v>1025.1693637698356</v>
      </c>
      <c r="N130" s="182">
        <f>N103*Inputs!$H53</f>
        <v>1031.2826580000001</v>
      </c>
      <c r="O130" s="14">
        <f>O103*Inputs!$H53</f>
        <v>1040.7193683015787</v>
      </c>
      <c r="P130" s="14">
        <f>P103*Inputs!$H53</f>
        <v>1045.8967499603957</v>
      </c>
      <c r="Q130" s="14">
        <f>Q103*Inputs!$H53</f>
        <v>1047.7198322790503</v>
      </c>
      <c r="R130" s="14">
        <f>R103*Inputs!$H53</f>
        <v>1044.2650316884656</v>
      </c>
      <c r="S130" s="14">
        <f>S103*Inputs!$H53</f>
        <v>1042.5930135810661</v>
      </c>
      <c r="T130" s="14">
        <f>T103*Inputs!$H53</f>
        <v>1045.5592584051942</v>
      </c>
      <c r="U130" s="14">
        <f>U103*Inputs!$H53</f>
        <v>1043.2320583952517</v>
      </c>
      <c r="V130" s="14">
        <f>V103*Inputs!$H53</f>
        <v>1038.8721973878271</v>
      </c>
      <c r="W130" s="14">
        <f>W103*Inputs!$H53</f>
        <v>1042.5593748022457</v>
      </c>
      <c r="X130" s="187">
        <f>X103*Inputs!$H53</f>
        <v>1041.7142154914782</v>
      </c>
      <c r="Y130" s="158">
        <f>Y103*Inputs!$H53</f>
        <v>1038.5732235230682</v>
      </c>
      <c r="Z130" s="158">
        <f>Z103*Inputs!$H53</f>
        <v>1041.6490907648069</v>
      </c>
      <c r="AA130" s="158">
        <f>AA103*Inputs!$H53</f>
        <v>1041.0490700878493</v>
      </c>
      <c r="AB130" s="158">
        <f>AB103*Inputs!$H53</f>
        <v>1038.8072934651709</v>
      </c>
      <c r="AC130" s="158">
        <f>AC103*Inputs!$H53</f>
        <v>1037.7446512302936</v>
      </c>
      <c r="AD130" s="158">
        <f>AD103*Inputs!$H53</f>
        <v>1037.8118486071032</v>
      </c>
      <c r="AE130" s="158">
        <f>AE103*Inputs!$H53</f>
        <v>1040.0052040544679</v>
      </c>
      <c r="AF130" s="158">
        <f>AF103*Inputs!$H53</f>
        <v>1040.1548589762854</v>
      </c>
      <c r="AG130" s="158">
        <f>AG103*Inputs!$H53</f>
        <v>1046.2161709344257</v>
      </c>
      <c r="AH130" s="187">
        <f>AH103*Inputs!$H53</f>
        <v>1049.078693041128</v>
      </c>
    </row>
    <row r="131" spans="1:35">
      <c r="A131" s="10" t="s">
        <v>121</v>
      </c>
      <c r="B131" s="35">
        <v>1</v>
      </c>
      <c r="C131" s="330">
        <f>Inputs!$H46*'Output -Jobs vs Yr'!C104</f>
        <v>246.64500000000001</v>
      </c>
      <c r="D131" s="330">
        <f>Inputs!$H46*'Output -Jobs vs Yr'!D104</f>
        <v>316.76400000000001</v>
      </c>
      <c r="E131" s="330">
        <f>Inputs!$H46*'Output -Jobs vs Yr'!E104</f>
        <v>378.74883835023911</v>
      </c>
      <c r="F131" s="330">
        <f>Inputs!$H46*'Output -Jobs vs Yr'!F104</f>
        <v>451.53467384544382</v>
      </c>
      <c r="G131" s="330">
        <f>Inputs!$H46*'Output -Jobs vs Yr'!G104</f>
        <v>470.31713373935008</v>
      </c>
      <c r="H131" s="286">
        <f>Inputs!$H46*'Output -Jobs vs Yr'!H104</f>
        <v>247.23588823354802</v>
      </c>
      <c r="I131" s="40">
        <f>Inputs!$H46*'Output -Jobs vs Yr'!I104</f>
        <v>284.553185054474</v>
      </c>
      <c r="J131" s="40">
        <f>Inputs!$H46*'Output -Jobs vs Yr'!J104</f>
        <v>341.8497321170118</v>
      </c>
      <c r="K131" s="40">
        <f>Inputs!$H46*'Output -Jobs vs Yr'!K104</f>
        <v>406.35278702879515</v>
      </c>
      <c r="L131" s="40">
        <f>Inputs!$H46*'Output -Jobs vs Yr'!L104</f>
        <v>481.64541941222609</v>
      </c>
      <c r="M131" s="40">
        <f>Inputs!$H46*'Output -Jobs vs Yr'!M104</f>
        <v>569.73669535095974</v>
      </c>
      <c r="N131" s="177">
        <f>Inputs!$H46*'Output -Jobs vs Yr'!N104</f>
        <v>672.88912376952192</v>
      </c>
      <c r="O131" s="40">
        <f>Inputs!$H46*'Output -Jobs vs Yr'!O104</f>
        <v>692.9213422714198</v>
      </c>
      <c r="P131" s="40">
        <f>Inputs!$H46*'Output -Jobs vs Yr'!P104</f>
        <v>710.6399908584674</v>
      </c>
      <c r="Q131" s="40">
        <f>Inputs!$H46*'Output -Jobs vs Yr'!Q104</f>
        <v>726.5122702927514</v>
      </c>
      <c r="R131" s="40">
        <f>Inputs!$H46*'Output -Jobs vs Yr'!R104</f>
        <v>739.04746236466133</v>
      </c>
      <c r="S131" s="40">
        <f>Inputs!$H46*'Output -Jobs vs Yr'!S104</f>
        <v>753.12572964176695</v>
      </c>
      <c r="T131" s="40">
        <f>Inputs!$H46*'Output -Jobs vs Yr'!T104</f>
        <v>770.93918118250076</v>
      </c>
      <c r="U131" s="40">
        <f>Inputs!$H46*'Output -Jobs vs Yr'!U104</f>
        <v>785.23444471246489</v>
      </c>
      <c r="V131" s="40">
        <f>Inputs!$H46*'Output -Jobs vs Yr'!V104</f>
        <v>798.28158556841197</v>
      </c>
      <c r="W131" s="40">
        <f>Inputs!$H46*'Output -Jobs vs Yr'!W104</f>
        <v>817.89856197653921</v>
      </c>
      <c r="X131" s="184">
        <f>Inputs!$H46*'Output -Jobs vs Yr'!X104</f>
        <v>834.4137803489192</v>
      </c>
      <c r="Y131" s="271">
        <f>Inputs!$H46*'Output -Jobs vs Yr'!Y104</f>
        <v>849.40947759301866</v>
      </c>
      <c r="Z131" s="271">
        <f>Inputs!$H46*'Output -Jobs vs Yr'!Z104</f>
        <v>869.87665392466386</v>
      </c>
      <c r="AA131" s="271">
        <f>Inputs!$H46*'Output -Jobs vs Yr'!AA104</f>
        <v>887.71371068355847</v>
      </c>
      <c r="AB131" s="271">
        <f>Inputs!$H46*'Output -Jobs vs Yr'!AB104</f>
        <v>904.50616150885605</v>
      </c>
      <c r="AC131" s="271">
        <f>Inputs!$H46*'Output -Jobs vs Yr'!AC104</f>
        <v>922.68033384262299</v>
      </c>
      <c r="AD131" s="271">
        <f>Inputs!$H46*'Output -Jobs vs Yr'!AD104</f>
        <v>942.26509367744734</v>
      </c>
      <c r="AE131" s="271">
        <f>Inputs!$H46*'Output -Jobs vs Yr'!AE104</f>
        <v>964.25809758017738</v>
      </c>
      <c r="AF131" s="271">
        <f>Inputs!$H46*'Output -Jobs vs Yr'!AF104</f>
        <v>984.8469974952036</v>
      </c>
      <c r="AG131" s="271">
        <f>Inputs!$H46*'Output -Jobs vs Yr'!AG104</f>
        <v>1011.6142567649465</v>
      </c>
      <c r="AH131" s="184">
        <f>Inputs!$H46*'Output -Jobs vs Yr'!AH104</f>
        <v>1035.9390192937028</v>
      </c>
    </row>
    <row r="132" spans="1:35">
      <c r="A132" s="10" t="s">
        <v>50</v>
      </c>
      <c r="B132" s="35">
        <v>1</v>
      </c>
      <c r="C132" s="331">
        <f>C105*Inputs!$H49</f>
        <v>0</v>
      </c>
      <c r="D132" s="331">
        <f>D105*Inputs!$H49</f>
        <v>0</v>
      </c>
      <c r="E132" s="331">
        <f>E105*Inputs!$H49</f>
        <v>4.3965000000000003E-4</v>
      </c>
      <c r="F132" s="331">
        <f>F105*Inputs!$H49</f>
        <v>4.572E-4</v>
      </c>
      <c r="G132" s="331">
        <f>G105*Inputs!$H49</f>
        <v>5.4307687499999995E-4</v>
      </c>
      <c r="H132" s="402">
        <f>H105*Inputs!$H49</f>
        <v>5.9240745000000003E-4</v>
      </c>
      <c r="I132" s="14">
        <f>I105*Inputs!$H49</f>
        <v>7.1184589681947601E-4</v>
      </c>
      <c r="J132" s="14">
        <f>J105*Inputs!$H49</f>
        <v>8.9283522174642171E-4</v>
      </c>
      <c r="K132" s="14">
        <f>K105*Inputs!$H49</f>
        <v>1.1080333933062001E-3</v>
      </c>
      <c r="L132" s="14">
        <f>L105*Inputs!$H49</f>
        <v>1.371167706999092E-3</v>
      </c>
      <c r="M132" s="14">
        <f>M105*Inputs!$H49</f>
        <v>1.6933661339790271E-3</v>
      </c>
      <c r="N132" s="182">
        <f>N105*Inputs!$H49</f>
        <v>2.0880155185943037E-3</v>
      </c>
      <c r="O132" s="14">
        <f>O105*Inputs!$H49</f>
        <v>2.1501767003199298E-3</v>
      </c>
      <c r="P132" s="14">
        <f>P105*Inputs!$H49</f>
        <v>2.2051587351179041E-3</v>
      </c>
      <c r="Q132" s="14">
        <f>Q105*Inputs!$H49</f>
        <v>2.2544113751198579E-3</v>
      </c>
      <c r="R132" s="14">
        <f>R105*Inputs!$H49</f>
        <v>2.2933088318480674E-3</v>
      </c>
      <c r="S132" s="14">
        <f>S105*Inputs!$H49</f>
        <v>2.3369945439678311E-3</v>
      </c>
      <c r="T132" s="14">
        <f>T105*Inputs!$H49</f>
        <v>2.39227075804663E-3</v>
      </c>
      <c r="U132" s="14">
        <f>U105*Inputs!$H49</f>
        <v>2.4366298226214116E-3</v>
      </c>
      <c r="V132" s="14">
        <f>V105*Inputs!$H49</f>
        <v>2.52654345E-3</v>
      </c>
      <c r="W132" s="14">
        <f>W105*Inputs!$H49</f>
        <v>2.5503345000000002E-3</v>
      </c>
      <c r="X132" s="187">
        <f>X105*Inputs!$H49</f>
        <v>2.5892362660542034E-3</v>
      </c>
      <c r="Y132" s="158">
        <f>Y105*Inputs!$H49</f>
        <v>2.8858043249999996E-3</v>
      </c>
      <c r="Z132" s="158">
        <f>Z105*Inputs!$H49</f>
        <v>3.27479175E-3</v>
      </c>
      <c r="AA132" s="158">
        <f>AA105*Inputs!$H49</f>
        <v>3.6108841500000002E-3</v>
      </c>
      <c r="AB132" s="158">
        <f>AB105*Inputs!$H49</f>
        <v>3.9475691999999998E-3</v>
      </c>
      <c r="AC132" s="158">
        <f>AC105*Inputs!$H49</f>
        <v>4.0398821999999999E-3</v>
      </c>
      <c r="AD132" s="158">
        <f>AD105*Inputs!$H49</f>
        <v>4.119002775E-3</v>
      </c>
      <c r="AE132" s="158">
        <f>AE105*Inputs!$H49</f>
        <v>4.1795068500000004E-3</v>
      </c>
      <c r="AF132" s="158">
        <f>AF105*Inputs!$H49</f>
        <v>4.2749034749999994E-3</v>
      </c>
      <c r="AG132" s="158">
        <f>AG105*Inputs!$H49</f>
        <v>4.3824552749999997E-3</v>
      </c>
      <c r="AH132" s="187">
        <f>AH105*Inputs!$H49</f>
        <v>3.2145812321726667E-3</v>
      </c>
    </row>
    <row r="133" spans="1:35">
      <c r="A133" s="10" t="s">
        <v>119</v>
      </c>
      <c r="B133" s="35">
        <v>1</v>
      </c>
      <c r="C133" s="331">
        <f>C106*Inputs!$H50</f>
        <v>0</v>
      </c>
      <c r="D133" s="331">
        <f>D106*Inputs!$H50</f>
        <v>0</v>
      </c>
      <c r="E133" s="331">
        <f>E106*Inputs!$H50</f>
        <v>0</v>
      </c>
      <c r="F133" s="331">
        <f>F106*Inputs!$H50</f>
        <v>0</v>
      </c>
      <c r="G133" s="331">
        <f>G106*Inputs!$H50</f>
        <v>0</v>
      </c>
      <c r="H133" s="402">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331">
        <f>C107*Inputs!$H52</f>
        <v>21.06</v>
      </c>
      <c r="D134" s="331">
        <f>D107*Inputs!$H52</f>
        <v>24.975000000000001</v>
      </c>
      <c r="E134" s="331">
        <f>E107*Inputs!$H52</f>
        <v>43.116364903043163</v>
      </c>
      <c r="F134" s="331">
        <f>F107*Inputs!$H52</f>
        <v>50.602229504982958</v>
      </c>
      <c r="G134" s="331">
        <f>G107*Inputs!$H52</f>
        <v>60.376886438703842</v>
      </c>
      <c r="H134" s="402">
        <f>H107*Inputs!$H52</f>
        <v>53.964337708840887</v>
      </c>
      <c r="I134" s="14">
        <f>I107*Inputs!$H52</f>
        <v>60.307695664542045</v>
      </c>
      <c r="J134" s="14">
        <f>J107*Inputs!$H52</f>
        <v>68.162197142418719</v>
      </c>
      <c r="K134" s="14">
        <f>K107*Inputs!$H52</f>
        <v>77.440487610366475</v>
      </c>
      <c r="L134" s="14">
        <f>L107*Inputs!$H52</f>
        <v>87.730129304132504</v>
      </c>
      <c r="M134" s="14">
        <f>M107*Inputs!$H52</f>
        <v>99.186376833585996</v>
      </c>
      <c r="N134" s="182">
        <f>N107*Inputs!$H52</f>
        <v>111.96385462441822</v>
      </c>
      <c r="O134" s="14">
        <f>O107*Inputs!$H52</f>
        <v>115.29707003974013</v>
      </c>
      <c r="P134" s="14">
        <f>P107*Inputs!$H52</f>
        <v>118.24532425349207</v>
      </c>
      <c r="Q134" s="14">
        <f>Q107*Inputs!$H52</f>
        <v>120.88635607338969</v>
      </c>
      <c r="R134" s="14">
        <f>R107*Inputs!$H52</f>
        <v>122.97212083499876</v>
      </c>
      <c r="S134" s="14">
        <f>S107*Inputs!$H52</f>
        <v>125.31464208418673</v>
      </c>
      <c r="T134" s="14">
        <f>T107*Inputs!$H52</f>
        <v>128.27867081969794</v>
      </c>
      <c r="U134" s="14">
        <f>U107*Inputs!$H52</f>
        <v>130.65729866661627</v>
      </c>
      <c r="V134" s="14">
        <f>V107*Inputs!$H52</f>
        <v>132.82824798123161</v>
      </c>
      <c r="W134" s="14">
        <f>W107*Inputs!$H52</f>
        <v>136.09237013322308</v>
      </c>
      <c r="X134" s="187">
        <f>X107*Inputs!$H52</f>
        <v>138.84038231475006</v>
      </c>
      <c r="Y134" s="158">
        <f>Y107*Inputs!$H52</f>
        <v>141.33555723573045</v>
      </c>
      <c r="Z134" s="158">
        <f>Z107*Inputs!$H52</f>
        <v>144.74114646940865</v>
      </c>
      <c r="AA134" s="158">
        <f>AA107*Inputs!$H52</f>
        <v>147.70910294148325</v>
      </c>
      <c r="AB134" s="158">
        <f>AB107*Inputs!$H52</f>
        <v>150.50324458618508</v>
      </c>
      <c r="AC134" s="158">
        <f>AC107*Inputs!$H52</f>
        <v>153.52729463725109</v>
      </c>
      <c r="AD134" s="158">
        <f>AD107*Inputs!$H52</f>
        <v>156.78605618583495</v>
      </c>
      <c r="AE134" s="158">
        <f>AE107*Inputs!$H52</f>
        <v>160.44553202626028</v>
      </c>
      <c r="AF134" s="158">
        <f>AF107*Inputs!$H52</f>
        <v>163.87137517861927</v>
      </c>
      <c r="AG134" s="158">
        <f>AG107*Inputs!$H52</f>
        <v>168.32525237726182</v>
      </c>
      <c r="AH134" s="187">
        <f>AH107*Inputs!$H52</f>
        <v>172.37271588846585</v>
      </c>
    </row>
    <row r="135" spans="1:35">
      <c r="A135" s="9" t="s">
        <v>347</v>
      </c>
      <c r="B135" s="35">
        <v>1</v>
      </c>
      <c r="C135" s="331">
        <f>C108*Inputs!$H54</f>
        <v>0</v>
      </c>
      <c r="D135" s="331">
        <f>D108*Inputs!$H54</f>
        <v>0</v>
      </c>
      <c r="E135" s="331">
        <f>E108*Inputs!$H54</f>
        <v>1.4220000000000002E-2</v>
      </c>
      <c r="F135" s="331">
        <f>F108*Inputs!$H54</f>
        <v>1.4220000000000002E-2</v>
      </c>
      <c r="G135" s="331">
        <f>G108*Inputs!$H54</f>
        <v>1.4220000000000002E-2</v>
      </c>
      <c r="H135" s="402">
        <f>H108*Inputs!$H54</f>
        <v>1.4220000000000002E-2</v>
      </c>
      <c r="I135" s="14">
        <f>I108*Inputs!$H54</f>
        <v>1.5085204618140629E-2</v>
      </c>
      <c r="J135" s="14">
        <f>J108*Inputs!$H54</f>
        <v>1.6704084118033459E-2</v>
      </c>
      <c r="K135" s="14">
        <f>K108*Inputs!$H54</f>
        <v>1.8301653863278717E-2</v>
      </c>
      <c r="L135" s="14">
        <f>L108*Inputs!$H54</f>
        <v>1.9994668081423014E-2</v>
      </c>
      <c r="M135" s="14">
        <f>M108*Inputs!$H54</f>
        <v>2.1800207485395313E-2</v>
      </c>
      <c r="N135" s="182">
        <f>N108*Inputs!$H54</f>
        <v>2.3731741748302431E-2</v>
      </c>
      <c r="O135" s="14">
        <f>O108*Inputs!$H54</f>
        <v>2.4438246608225581E-2</v>
      </c>
      <c r="P135" s="14">
        <f>P108*Inputs!$H54</f>
        <v>2.5063155493720905E-2</v>
      </c>
      <c r="Q135" s="14">
        <f>Q108*Inputs!$H54</f>
        <v>2.562294584132109E-2</v>
      </c>
      <c r="R135" s="14">
        <f>R108*Inputs!$H54</f>
        <v>2.6065042362883865E-2</v>
      </c>
      <c r="S135" s="14">
        <f>S108*Inputs!$H54</f>
        <v>2.6561560721528474E-2</v>
      </c>
      <c r="T135" s="14">
        <f>T108*Inputs!$H54</f>
        <v>2.7189813158189035E-2</v>
      </c>
      <c r="U135" s="14">
        <f>U108*Inputs!$H54</f>
        <v>2.769398463359727E-2</v>
      </c>
      <c r="V135" s="14">
        <f>V108*Inputs!$H54</f>
        <v>2.8154136784092006E-2</v>
      </c>
      <c r="W135" s="14">
        <f>W108*Inputs!$H54</f>
        <v>2.8845996708045357E-2</v>
      </c>
      <c r="X135" s="187">
        <f>X108*Inputs!$H54</f>
        <v>2.9428462501420831E-2</v>
      </c>
      <c r="Y135" s="158">
        <f>Y108*Inputs!$H54</f>
        <v>2.9957337172984988E-2</v>
      </c>
      <c r="Z135" s="158">
        <f>Z108*Inputs!$H54</f>
        <v>3.0679182311896668E-2</v>
      </c>
      <c r="AA135" s="158">
        <f>AA108*Inputs!$H54</f>
        <v>3.1308267267499086E-2</v>
      </c>
      <c r="AB135" s="158">
        <f>AB108*Inputs!$H54</f>
        <v>3.1900510613735028E-2</v>
      </c>
      <c r="AC135" s="158">
        <f>AC108*Inputs!$H54</f>
        <v>3.2541485105784966E-2</v>
      </c>
      <c r="AD135" s="158">
        <f>AD108*Inputs!$H54</f>
        <v>3.3232208801835923E-2</v>
      </c>
      <c r="AE135" s="158">
        <f>AE108*Inputs!$H54</f>
        <v>3.400786748088417E-2</v>
      </c>
      <c r="AF135" s="158">
        <f>AF108*Inputs!$H54</f>
        <v>3.4734005619256582E-2</v>
      </c>
      <c r="AG135" s="158">
        <f>AG108*Inputs!$H54</f>
        <v>3.567804478092533E-2</v>
      </c>
      <c r="AH135" s="187">
        <f>AH108*Inputs!$H54</f>
        <v>3.6535940921655581E-2</v>
      </c>
    </row>
    <row r="136" spans="1:35">
      <c r="A136" s="9" t="s">
        <v>348</v>
      </c>
      <c r="B136" s="35">
        <v>1</v>
      </c>
      <c r="C136" s="331">
        <f>C109*Inputs!$H55</f>
        <v>0</v>
      </c>
      <c r="D136" s="331">
        <f>D109*Inputs!$H55</f>
        <v>0</v>
      </c>
      <c r="E136" s="331">
        <f>E109*Inputs!$H55</f>
        <v>2.0700000000000002E-3</v>
      </c>
      <c r="F136" s="331">
        <f>F109*Inputs!$H55</f>
        <v>2.0700000000000002E-3</v>
      </c>
      <c r="G136" s="331">
        <f>G109*Inputs!$H55</f>
        <v>2.0700000000000002E-3</v>
      </c>
      <c r="H136" s="402">
        <f>H109*Inputs!$H55</f>
        <v>2.0700000000000002E-3</v>
      </c>
      <c r="I136" s="14">
        <f>I109*Inputs!$H55</f>
        <v>2.1959475077040153E-3</v>
      </c>
      <c r="J136" s="14">
        <f>J109*Inputs!$H55</f>
        <v>2.4316071817390475E-3</v>
      </c>
      <c r="K136" s="14">
        <f>K109*Inputs!$H55</f>
        <v>2.6641648028823454E-3</v>
      </c>
      <c r="L136" s="14">
        <f>L109*Inputs!$H55</f>
        <v>2.9106162397008186E-3</v>
      </c>
      <c r="M136" s="14">
        <f>M109*Inputs!$H55</f>
        <v>3.1734479250891908E-3</v>
      </c>
      <c r="N136" s="187">
        <f>N109*Inputs!$H55</f>
        <v>3.4546206342465561E-3</v>
      </c>
      <c r="O136" s="14">
        <f>O109*Inputs!$H55</f>
        <v>3.5574662784125851E-3</v>
      </c>
      <c r="P136" s="14">
        <f>P109*Inputs!$H55</f>
        <v>3.6484340275669673E-3</v>
      </c>
      <c r="Q136" s="14">
        <f>Q109*Inputs!$H55</f>
        <v>3.7299224958885131E-3</v>
      </c>
      <c r="R136" s="14">
        <f>R109*Inputs!$H55</f>
        <v>3.7942783186476516E-3</v>
      </c>
      <c r="S136" s="14">
        <f>S109*Inputs!$H55</f>
        <v>3.866556307564272E-3</v>
      </c>
      <c r="T136" s="14">
        <f>T109*Inputs!$H55</f>
        <v>3.9580107761920755E-3</v>
      </c>
      <c r="U136" s="14">
        <f>U109*Inputs!$H55</f>
        <v>4.0314028264097287E-3</v>
      </c>
      <c r="V136" s="14">
        <f>V109*Inputs!$H55</f>
        <v>4.0983870002159247E-3</v>
      </c>
      <c r="W136" s="14">
        <f>W109*Inputs!$H55</f>
        <v>4.1991007866141964E-3</v>
      </c>
      <c r="X136" s="187">
        <f>X109*Inputs!$H55</f>
        <v>4.2838901109663232E-3</v>
      </c>
      <c r="Y136" s="158">
        <f>Y109*Inputs!$H55</f>
        <v>4.3608781960674352E-3</v>
      </c>
      <c r="Z136" s="158">
        <f>Z109*Inputs!$H55</f>
        <v>4.4659569188204009E-3</v>
      </c>
      <c r="AA136" s="158">
        <f>AA109*Inputs!$H55</f>
        <v>4.5575325769144229E-3</v>
      </c>
      <c r="AB136" s="158">
        <f>AB109*Inputs!$H55</f>
        <v>4.6437452159234539E-3</v>
      </c>
      <c r="AC136" s="158">
        <f>AC109*Inputs!$H55</f>
        <v>4.7370516293231283E-3</v>
      </c>
      <c r="AD136" s="158">
        <f>AD109*Inputs!$H55</f>
        <v>4.8376000154571287E-3</v>
      </c>
      <c r="AE136" s="158">
        <f>AE109*Inputs!$H55</f>
        <v>4.9505123548122532E-3</v>
      </c>
      <c r="AF136" s="158">
        <f>AF109*Inputs!$H55</f>
        <v>5.0562160078664641E-3</v>
      </c>
      <c r="AG136" s="158">
        <f>AG109*Inputs!$H55</f>
        <v>5.1936394301347003E-3</v>
      </c>
      <c r="AH136" s="187">
        <f>AH109*Inputs!$H55</f>
        <v>5.3185230455574583E-3</v>
      </c>
    </row>
    <row r="137" spans="1:35">
      <c r="A137" s="9" t="s">
        <v>344</v>
      </c>
      <c r="B137" s="35">
        <v>1</v>
      </c>
      <c r="C137" s="331">
        <f>C110*Inputs!$H56</f>
        <v>2.16E-3</v>
      </c>
      <c r="D137" s="331">
        <f>D110*Inputs!$H56</f>
        <v>2.3163560566789951E-3</v>
      </c>
      <c r="E137" s="331">
        <f>E110*Inputs!$H56</f>
        <v>2.8179422273892744E-3</v>
      </c>
      <c r="F137" s="331">
        <f>F110*Inputs!$H56</f>
        <v>3.0965033315993756E-3</v>
      </c>
      <c r="G137" s="331">
        <f>G110*Inputs!$H56</f>
        <v>2.9728357592982454E-3</v>
      </c>
      <c r="H137" s="402">
        <f>H110*Inputs!$H56</f>
        <v>2.16E-3</v>
      </c>
      <c r="I137" s="14">
        <f>I110*Inputs!$H56</f>
        <v>2.2914234862998423E-3</v>
      </c>
      <c r="J137" s="14">
        <f>J110*Inputs!$H56</f>
        <v>2.5373292331190064E-3</v>
      </c>
      <c r="K137" s="14">
        <f>K110*Inputs!$H56</f>
        <v>2.7799980551815777E-3</v>
      </c>
      <c r="L137" s="14">
        <f>L110*Inputs!$H56</f>
        <v>3.037164771861724E-3</v>
      </c>
      <c r="M137" s="14">
        <f>M110*Inputs!$H56</f>
        <v>3.3114239218321991E-3</v>
      </c>
      <c r="N137" s="187">
        <f>N110*Inputs!$H56</f>
        <v>3.604821531387711E-3</v>
      </c>
      <c r="O137" s="14">
        <f>O110*Inputs!$H56</f>
        <v>3.7121387253000885E-3</v>
      </c>
      <c r="P137" s="14">
        <f>P110*Inputs!$H56</f>
        <v>3.8070615939829223E-3</v>
      </c>
      <c r="Q137" s="14">
        <f>Q110*Inputs!$H56</f>
        <v>3.8920930391880132E-3</v>
      </c>
      <c r="R137" s="14">
        <f>R110*Inputs!$H56</f>
        <v>3.9592469411975492E-3</v>
      </c>
      <c r="S137" s="14">
        <f>S110*Inputs!$H56</f>
        <v>4.0346674513714138E-3</v>
      </c>
      <c r="T137" s="14">
        <f>T110*Inputs!$H56</f>
        <v>4.1300982012439048E-3</v>
      </c>
      <c r="U137" s="14">
        <f>U110*Inputs!$H56</f>
        <v>4.2066812101666743E-3</v>
      </c>
      <c r="V137" s="14">
        <f>V110*Inputs!$H56</f>
        <v>4.2765777393557478E-3</v>
      </c>
      <c r="W137" s="14">
        <f>W110*Inputs!$H56</f>
        <v>4.381670386032206E-3</v>
      </c>
      <c r="X137" s="187">
        <f>X110*Inputs!$H56</f>
        <v>4.4701462027474685E-3</v>
      </c>
      <c r="Y137" s="158">
        <f>Y110*Inputs!$H56</f>
        <v>4.5504815958964549E-3</v>
      </c>
      <c r="Z137" s="158">
        <f>Z110*Inputs!$H56</f>
        <v>4.6601289587691148E-3</v>
      </c>
      <c r="AA137" s="158">
        <f>AA110*Inputs!$H56</f>
        <v>4.7556861672150503E-3</v>
      </c>
      <c r="AB137" s="158">
        <f>AB110*Inputs!$H56</f>
        <v>4.845647181833169E-3</v>
      </c>
      <c r="AC137" s="158">
        <f>AC110*Inputs!$H56</f>
        <v>4.943010395815438E-3</v>
      </c>
      <c r="AD137" s="158">
        <f>AD110*Inputs!$H56</f>
        <v>5.0479304509117862E-3</v>
      </c>
      <c r="AE137" s="158">
        <f>AE110*Inputs!$H56</f>
        <v>5.1657520224127861E-3</v>
      </c>
      <c r="AF137" s="158">
        <f>AF110*Inputs!$H56</f>
        <v>5.2760514864693547E-3</v>
      </c>
      <c r="AG137" s="158">
        <f>AG110*Inputs!$H56</f>
        <v>5.4194498401405567E-3</v>
      </c>
      <c r="AH137" s="187">
        <f>AH110*Inputs!$H56</f>
        <v>5.5497631779730001E-3</v>
      </c>
    </row>
    <row r="138" spans="1:35">
      <c r="A138" s="10" t="s">
        <v>120</v>
      </c>
      <c r="B138" s="35">
        <v>1</v>
      </c>
      <c r="C138" s="331">
        <f>C111*Inputs!$H56</f>
        <v>0</v>
      </c>
      <c r="D138" s="331">
        <f>D111*Inputs!$H56</f>
        <v>0</v>
      </c>
      <c r="E138" s="331">
        <f>E111*Inputs!$H56</f>
        <v>0</v>
      </c>
      <c r="F138" s="331">
        <f>F111*Inputs!$H56</f>
        <v>0</v>
      </c>
      <c r="G138" s="331">
        <f>G111*Inputs!$H56</f>
        <v>0</v>
      </c>
      <c r="H138" s="402">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331">
        <f>C112*Inputs!$H57</f>
        <v>546.51600000000008</v>
      </c>
      <c r="D139" s="331">
        <f>D112*Inputs!$H57</f>
        <v>725.98500000000013</v>
      </c>
      <c r="E139" s="331">
        <f>E112*Inputs!$H57</f>
        <v>738.21504640174578</v>
      </c>
      <c r="F139" s="331">
        <f>F112*Inputs!$H57</f>
        <v>838.32708600000012</v>
      </c>
      <c r="G139" s="331">
        <f>G112*Inputs!$H57</f>
        <v>986.46428700000024</v>
      </c>
      <c r="H139" s="402">
        <f>H112*Inputs!$H57</f>
        <v>989.52336900000012</v>
      </c>
      <c r="I139" s="14">
        <f>I112*Inputs!$H57</f>
        <v>1068.140797134816</v>
      </c>
      <c r="J139" s="14">
        <f>J112*Inputs!$H57</f>
        <v>1203.5130530876172</v>
      </c>
      <c r="K139" s="14">
        <f>K112*Inputs!$H57</f>
        <v>1341.7429215989887</v>
      </c>
      <c r="L139" s="14">
        <f>L112*Inputs!$H57</f>
        <v>1491.5712834540093</v>
      </c>
      <c r="M139" s="14">
        <f>M112*Inputs!$H57</f>
        <v>1654.7838754189868</v>
      </c>
      <c r="N139" s="182">
        <f>N112*Inputs!$H57</f>
        <v>1832.9942638232969</v>
      </c>
      <c r="O139" s="14">
        <f>O112*Inputs!$H57</f>
        <v>1887.5633455762218</v>
      </c>
      <c r="P139" s="14">
        <f>P112*Inputs!$H57</f>
        <v>1935.8301105980966</v>
      </c>
      <c r="Q139" s="14">
        <f>Q112*Inputs!$H57</f>
        <v>1979.0672445167727</v>
      </c>
      <c r="R139" s="14">
        <f>R112*Inputs!$H57</f>
        <v>2013.213932807731</v>
      </c>
      <c r="S139" s="14">
        <f>S112*Inputs!$H57</f>
        <v>2051.5640595254054</v>
      </c>
      <c r="T139" s="14">
        <f>T112*Inputs!$H57</f>
        <v>2100.0890740332088</v>
      </c>
      <c r="U139" s="14">
        <f>U112*Inputs!$H57</f>
        <v>2139.0303128267215</v>
      </c>
      <c r="V139" s="14">
        <f>V112*Inputs!$H57</f>
        <v>2174.5715833027134</v>
      </c>
      <c r="W139" s="14">
        <f>W112*Inputs!$H57</f>
        <v>2228.0095182602863</v>
      </c>
      <c r="X139" s="187">
        <f>X112*Inputs!$H57</f>
        <v>2272.9980601656407</v>
      </c>
      <c r="Y139" s="158">
        <f>Y112*Inputs!$H57</f>
        <v>2313.8473265001639</v>
      </c>
      <c r="Z139" s="158">
        <f>Z112*Inputs!$H57</f>
        <v>2369.601262010965</v>
      </c>
      <c r="AA139" s="158">
        <f>AA112*Inputs!$H57</f>
        <v>2418.1905786867728</v>
      </c>
      <c r="AB139" s="158">
        <f>AB112*Inputs!$H57</f>
        <v>2463.9343200417729</v>
      </c>
      <c r="AC139" s="158">
        <f>AC112*Inputs!$H57</f>
        <v>2513.4419617330377</v>
      </c>
      <c r="AD139" s="158">
        <f>AD112*Inputs!$H57</f>
        <v>2566.7921366243854</v>
      </c>
      <c r="AE139" s="158">
        <f>AE112*Inputs!$H57</f>
        <v>2626.7025268713169</v>
      </c>
      <c r="AF139" s="158">
        <f>AF112*Inputs!$H57</f>
        <v>2682.7880454352953</v>
      </c>
      <c r="AG139" s="158">
        <f>AG112*Inputs!$H57</f>
        <v>2755.7038215513544</v>
      </c>
      <c r="AH139" s="187">
        <f>AH112*Inputs!$H57</f>
        <v>2821.966075775792</v>
      </c>
      <c r="AI139" s="31">
        <f>SUM(C139:X139)</f>
        <v>34199.714224532261</v>
      </c>
    </row>
    <row r="140" spans="1:35">
      <c r="A140" s="10" t="s">
        <v>384</v>
      </c>
      <c r="C140" s="331">
        <f t="shared" ref="C140:AH140" si="91">SUM(C127:C139)</f>
        <v>11496.060810000001</v>
      </c>
      <c r="D140" s="331">
        <f t="shared" si="91"/>
        <v>11621.146138345248</v>
      </c>
      <c r="E140" s="331">
        <f t="shared" si="91"/>
        <v>12988.170970995116</v>
      </c>
      <c r="F140" s="331">
        <f t="shared" si="91"/>
        <v>13314.658969008691</v>
      </c>
      <c r="G140" s="331">
        <f t="shared" si="91"/>
        <v>12108.140791657926</v>
      </c>
      <c r="H140" s="402">
        <f t="shared" si="91"/>
        <v>11792.473050099839</v>
      </c>
      <c r="I140" s="14">
        <f t="shared" si="91"/>
        <v>11713.044737263162</v>
      </c>
      <c r="J140" s="14">
        <f t="shared" si="91"/>
        <v>12158.250354741189</v>
      </c>
      <c r="K140" s="14">
        <f t="shared" si="91"/>
        <v>12506.900024693683</v>
      </c>
      <c r="L140" s="14">
        <f t="shared" si="91"/>
        <v>12849.751626351626</v>
      </c>
      <c r="M140" s="14">
        <f t="shared" si="91"/>
        <v>13199.014111459439</v>
      </c>
      <c r="N140" s="182">
        <f t="shared" si="91"/>
        <v>13563.238610666671</v>
      </c>
      <c r="O140" s="14">
        <f t="shared" si="91"/>
        <v>13741.329165864852</v>
      </c>
      <c r="P140" s="14">
        <f t="shared" si="91"/>
        <v>13865.213036444553</v>
      </c>
      <c r="Q140" s="14">
        <f t="shared" si="91"/>
        <v>13946.31325852179</v>
      </c>
      <c r="R140" s="14">
        <f t="shared" si="91"/>
        <v>13958.414526087177</v>
      </c>
      <c r="S140" s="14">
        <f t="shared" si="91"/>
        <v>13995.440424461081</v>
      </c>
      <c r="T140" s="14">
        <f t="shared" si="91"/>
        <v>14096.225568892956</v>
      </c>
      <c r="U140" s="14">
        <f t="shared" si="91"/>
        <v>14127.142021323831</v>
      </c>
      <c r="V140" s="14">
        <f t="shared" si="91"/>
        <v>14131.629360538247</v>
      </c>
      <c r="W140" s="14">
        <f t="shared" si="91"/>
        <v>14247.082600943111</v>
      </c>
      <c r="X140" s="187">
        <f t="shared" si="91"/>
        <v>14302.365200815006</v>
      </c>
      <c r="Y140" s="158">
        <f t="shared" si="91"/>
        <v>14327.369891142691</v>
      </c>
      <c r="Z140" s="158">
        <f t="shared" si="91"/>
        <v>14439.643157533037</v>
      </c>
      <c r="AA140" s="158">
        <f t="shared" si="91"/>
        <v>14502.670413387146</v>
      </c>
      <c r="AB140" s="158">
        <f t="shared" si="91"/>
        <v>14544.209103936539</v>
      </c>
      <c r="AC140" s="158">
        <f t="shared" si="91"/>
        <v>14603.637703476696</v>
      </c>
      <c r="AD140" s="158">
        <f t="shared" si="91"/>
        <v>14680.545563997392</v>
      </c>
      <c r="AE140" s="158">
        <f t="shared" si="91"/>
        <v>14789.388338630059</v>
      </c>
      <c r="AF140" s="158">
        <f t="shared" si="91"/>
        <v>14871.077977093351</v>
      </c>
      <c r="AG140" s="158">
        <f t="shared" si="91"/>
        <v>15039.54701615788</v>
      </c>
      <c r="AH140" s="187">
        <f t="shared" si="91"/>
        <v>15164.562375906262</v>
      </c>
      <c r="AI140" s="48" t="s">
        <v>0</v>
      </c>
    </row>
    <row r="141" spans="1:35">
      <c r="A141" s="10" t="s">
        <v>387</v>
      </c>
      <c r="C141" s="331">
        <f>SUM(C128:C130)</f>
        <v>10681.837650000001</v>
      </c>
      <c r="D141" s="331">
        <f t="shared" ref="D141:AH141" si="92">SUM(D128:D130)</f>
        <v>10553.419821989191</v>
      </c>
      <c r="E141" s="331">
        <f t="shared" si="92"/>
        <v>11828.071173747861</v>
      </c>
      <c r="F141" s="331">
        <f t="shared" si="92"/>
        <v>11974.175135954934</v>
      </c>
      <c r="G141" s="331">
        <f t="shared" si="92"/>
        <v>10590.962678567239</v>
      </c>
      <c r="H141" s="402">
        <f t="shared" si="92"/>
        <v>10501.730412749999</v>
      </c>
      <c r="I141" s="14">
        <f t="shared" si="92"/>
        <v>10300.022774987821</v>
      </c>
      <c r="J141" s="14">
        <f t="shared" si="92"/>
        <v>10544.702806538384</v>
      </c>
      <c r="K141" s="14">
        <f t="shared" si="92"/>
        <v>10681.338974605418</v>
      </c>
      <c r="L141" s="14">
        <f t="shared" si="92"/>
        <v>10788.777480564457</v>
      </c>
      <c r="M141" s="14">
        <f t="shared" si="92"/>
        <v>10875.277185410441</v>
      </c>
      <c r="N141" s="187">
        <f t="shared" si="92"/>
        <v>10945.35848925</v>
      </c>
      <c r="O141" s="14">
        <f t="shared" si="92"/>
        <v>11045.513549949159</v>
      </c>
      <c r="P141" s="14">
        <f t="shared" si="92"/>
        <v>11100.462886924646</v>
      </c>
      <c r="Q141" s="14">
        <f t="shared" si="92"/>
        <v>11119.811888266127</v>
      </c>
      <c r="R141" s="14">
        <f t="shared" si="92"/>
        <v>11083.144898203333</v>
      </c>
      <c r="S141" s="14">
        <f t="shared" si="92"/>
        <v>11065.399193430698</v>
      </c>
      <c r="T141" s="14">
        <f t="shared" si="92"/>
        <v>11096.880972664654</v>
      </c>
      <c r="U141" s="14">
        <f t="shared" si="92"/>
        <v>11072.181596419538</v>
      </c>
      <c r="V141" s="14">
        <f t="shared" si="92"/>
        <v>11025.908888040916</v>
      </c>
      <c r="W141" s="14">
        <f t="shared" si="92"/>
        <v>11065.04217347068</v>
      </c>
      <c r="X141" s="187">
        <f t="shared" si="92"/>
        <v>11056.072206250612</v>
      </c>
      <c r="Y141" s="158">
        <f t="shared" si="92"/>
        <v>11022.735775312489</v>
      </c>
      <c r="Z141" s="158">
        <f t="shared" si="92"/>
        <v>11055.381015068058</v>
      </c>
      <c r="AA141" s="158">
        <f t="shared" si="92"/>
        <v>11049.012788705169</v>
      </c>
      <c r="AB141" s="158">
        <f t="shared" si="92"/>
        <v>11025.220040327513</v>
      </c>
      <c r="AC141" s="158">
        <f t="shared" si="92"/>
        <v>11013.941851834454</v>
      </c>
      <c r="AD141" s="158">
        <f t="shared" si="92"/>
        <v>11014.655040767682</v>
      </c>
      <c r="AE141" s="158">
        <f t="shared" si="92"/>
        <v>11037.933878513595</v>
      </c>
      <c r="AF141" s="158">
        <f t="shared" si="92"/>
        <v>11039.522217807644</v>
      </c>
      <c r="AG141" s="158">
        <f t="shared" si="92"/>
        <v>11103.85301187499</v>
      </c>
      <c r="AH141" s="187">
        <f t="shared" si="92"/>
        <v>11134.233946139921</v>
      </c>
      <c r="AI141" s="48"/>
    </row>
    <row r="142" spans="1:35">
      <c r="A142" s="10" t="s">
        <v>386</v>
      </c>
      <c r="C142" s="330">
        <f t="shared" ref="C142:AH142" si="93">SUMPRODUCT($B131:$B139,C131:C139)</f>
        <v>814.22316000000001</v>
      </c>
      <c r="D142" s="330">
        <f t="shared" si="93"/>
        <v>1067.7263163560569</v>
      </c>
      <c r="E142" s="330">
        <f t="shared" si="93"/>
        <v>1160.0997972472555</v>
      </c>
      <c r="F142" s="330">
        <f t="shared" si="93"/>
        <v>1340.4838330537586</v>
      </c>
      <c r="G142" s="330">
        <f t="shared" si="93"/>
        <v>1517.1781130906884</v>
      </c>
      <c r="H142" s="286">
        <f t="shared" si="93"/>
        <v>1290.742637349839</v>
      </c>
      <c r="I142" s="40">
        <f t="shared" si="93"/>
        <v>1413.0219622753411</v>
      </c>
      <c r="J142" s="40">
        <f t="shared" si="93"/>
        <v>1613.5475482028023</v>
      </c>
      <c r="K142" s="40">
        <f t="shared" si="93"/>
        <v>1825.5610500882649</v>
      </c>
      <c r="L142" s="40">
        <f t="shared" si="93"/>
        <v>2060.9741457871678</v>
      </c>
      <c r="M142" s="40">
        <f t="shared" si="93"/>
        <v>2323.7369260489986</v>
      </c>
      <c r="N142" s="177">
        <f t="shared" si="93"/>
        <v>2617.8801214166697</v>
      </c>
      <c r="O142" s="40">
        <f t="shared" si="93"/>
        <v>2695.8156159156938</v>
      </c>
      <c r="P142" s="40">
        <f t="shared" si="93"/>
        <v>2764.7501495199067</v>
      </c>
      <c r="Q142" s="40">
        <f t="shared" si="93"/>
        <v>2826.5013702556653</v>
      </c>
      <c r="R142" s="40">
        <f t="shared" si="93"/>
        <v>2875.2696278838457</v>
      </c>
      <c r="S142" s="40">
        <f t="shared" si="93"/>
        <v>2930.0412310303836</v>
      </c>
      <c r="T142" s="40">
        <f t="shared" si="93"/>
        <v>2999.3445962283013</v>
      </c>
      <c r="U142" s="40">
        <f t="shared" si="93"/>
        <v>3054.9604249042955</v>
      </c>
      <c r="V142" s="40">
        <f t="shared" si="93"/>
        <v>3105.7204724973308</v>
      </c>
      <c r="W142" s="40">
        <f t="shared" si="93"/>
        <v>3182.0404274724292</v>
      </c>
      <c r="X142" s="184">
        <f t="shared" si="93"/>
        <v>3246.2929945643909</v>
      </c>
      <c r="Y142" s="271">
        <f t="shared" si="93"/>
        <v>3304.634115830203</v>
      </c>
      <c r="Z142" s="271">
        <f t="shared" si="93"/>
        <v>3384.2621424649769</v>
      </c>
      <c r="AA142" s="271">
        <f t="shared" si="93"/>
        <v>3453.6576246819764</v>
      </c>
      <c r="AB142" s="271">
        <f t="shared" si="93"/>
        <v>3518.9890636090254</v>
      </c>
      <c r="AC142" s="271">
        <f t="shared" si="93"/>
        <v>3589.6958516422428</v>
      </c>
      <c r="AD142" s="271">
        <f t="shared" si="93"/>
        <v>3665.8905232297111</v>
      </c>
      <c r="AE142" s="271">
        <f t="shared" si="93"/>
        <v>3751.4544601164625</v>
      </c>
      <c r="AF142" s="271">
        <f t="shared" si="93"/>
        <v>3831.5557592857067</v>
      </c>
      <c r="AG142" s="271">
        <f t="shared" si="93"/>
        <v>3935.6940042828892</v>
      </c>
      <c r="AH142" s="184">
        <f t="shared" si="93"/>
        <v>4030.3284297663376</v>
      </c>
    </row>
    <row r="143" spans="1:35">
      <c r="A143" s="10" t="s">
        <v>142</v>
      </c>
      <c r="C143" s="331">
        <f>C116*Inputs!$H$60</f>
        <v>1348.5780000000002</v>
      </c>
      <c r="D143" s="331">
        <f>D116*Inputs!$H$60</f>
        <v>795.97098951491921</v>
      </c>
      <c r="E143" s="331">
        <f>E116*Inputs!$H$60</f>
        <v>842.29460670370349</v>
      </c>
      <c r="F143" s="331">
        <f>F116*Inputs!$H$60</f>
        <v>736.38743538016365</v>
      </c>
      <c r="G143" s="331">
        <f>G116*Inputs!$H$60</f>
        <v>480.96752793665797</v>
      </c>
      <c r="H143" s="402">
        <f>H116*Inputs!$H$60</f>
        <v>607.48374524025121</v>
      </c>
      <c r="I143" s="14">
        <f>I116*Inputs!$H$60</f>
        <v>773.13087607035231</v>
      </c>
      <c r="J143" s="14">
        <f>J116*Inputs!$H$60</f>
        <v>704.85177844885072</v>
      </c>
      <c r="K143" s="14">
        <f>K116*Inputs!$H$60</f>
        <v>671.5720156460834</v>
      </c>
      <c r="L143" s="14">
        <f>L116*Inputs!$H$60</f>
        <v>582.16428199827658</v>
      </c>
      <c r="M143" s="14">
        <f>M116*Inputs!$H$60</f>
        <v>506.58920380671498</v>
      </c>
      <c r="N143" s="182">
        <f>N116*Inputs!$H$60</f>
        <v>425.07956419933714</v>
      </c>
      <c r="O143" s="14">
        <f>O116*Inputs!$H$60</f>
        <v>403.22330636143863</v>
      </c>
      <c r="P143" s="14">
        <f>P116*Inputs!$H$60</f>
        <v>388.84544667924138</v>
      </c>
      <c r="Q143" s="14">
        <f>Q116*Inputs!$H$60</f>
        <v>387.51172828361939</v>
      </c>
      <c r="R143" s="14">
        <f>R116*Inputs!$H$60</f>
        <v>395.06643826144688</v>
      </c>
      <c r="S143" s="14">
        <f>S116*Inputs!$H$60</f>
        <v>396.22897118659148</v>
      </c>
      <c r="T143" s="14">
        <f>T116*Inputs!$H$60</f>
        <v>393.24245990609876</v>
      </c>
      <c r="U143" s="14">
        <f>U116*Inputs!$H$60</f>
        <v>396.38920486818262</v>
      </c>
      <c r="V143" s="14">
        <f>V116*Inputs!$H$60</f>
        <v>401.69165345710707</v>
      </c>
      <c r="W143" s="14">
        <f>W116*Inputs!$H$60</f>
        <v>401.89570868042989</v>
      </c>
      <c r="X143" s="187">
        <f>X116*Inputs!$H$60</f>
        <v>402.13835084077886</v>
      </c>
      <c r="Y143" s="158">
        <f>Y116*Inputs!$H$60</f>
        <v>403.62233137180476</v>
      </c>
      <c r="Z143" s="158">
        <f>Z116*Inputs!$H$60</f>
        <v>394.39148158690335</v>
      </c>
      <c r="AA143" s="158">
        <f>AA116*Inputs!$H$60</f>
        <v>390.94920311825069</v>
      </c>
      <c r="AB143" s="158">
        <f>AB116*Inputs!$H$60</f>
        <v>389.48028540911793</v>
      </c>
      <c r="AC143" s="158">
        <f>AC116*Inputs!$H$60</f>
        <v>387.6037354696266</v>
      </c>
      <c r="AD143" s="158">
        <f>AD116*Inputs!$H$60</f>
        <v>391.56217294884584</v>
      </c>
      <c r="AE143" s="158">
        <f>AE116*Inputs!$H$60</f>
        <v>393.15370887027598</v>
      </c>
      <c r="AF143" s="158">
        <f>AF116*Inputs!$H$60</f>
        <v>389.97142415259793</v>
      </c>
      <c r="AG143" s="158">
        <f>AG116*Inputs!$H$60</f>
        <v>382.69044914646537</v>
      </c>
      <c r="AH143" s="187">
        <f>AH116*Inputs!$H$60</f>
        <v>375.64466962049744</v>
      </c>
      <c r="AI143" s="48"/>
    </row>
    <row r="144" spans="1:35">
      <c r="A144" s="10" t="s">
        <v>222</v>
      </c>
      <c r="C144" s="331">
        <f>C117*Inputs!$H$61</f>
        <v>577.96199999999999</v>
      </c>
      <c r="D144" s="331">
        <f>D117*Inputs!$H$61</f>
        <v>966.9829342541392</v>
      </c>
      <c r="E144" s="331">
        <f>E117*Inputs!$H$61</f>
        <v>1183.9029446937238</v>
      </c>
      <c r="F144" s="331">
        <f>F117*Inputs!$H$61</f>
        <v>1236.2622449675723</v>
      </c>
      <c r="G144" s="331">
        <f>G117*Inputs!$H$61</f>
        <v>1078.4985064709583</v>
      </c>
      <c r="H144" s="402">
        <f>H117*Inputs!$H$61</f>
        <v>1285.4331490194413</v>
      </c>
      <c r="I144" s="14">
        <f>I117*Inputs!$H$61</f>
        <v>976.72013127516243</v>
      </c>
      <c r="J144" s="14">
        <f>J117*Inputs!$H$61</f>
        <v>968.27981968092774</v>
      </c>
      <c r="K144" s="14">
        <f>K117*Inputs!$H$61</f>
        <v>890.01054184163524</v>
      </c>
      <c r="L144" s="14">
        <f>L117*Inputs!$H$61</f>
        <v>846.31171102954522</v>
      </c>
      <c r="M144" s="14">
        <f>M117*Inputs!$H$61</f>
        <v>767.09482491394158</v>
      </c>
      <c r="N144" s="182">
        <f>N117*Inputs!$H$61</f>
        <v>670.94188583959249</v>
      </c>
      <c r="O144" s="14">
        <f>O117*Inputs!$H$61</f>
        <v>753.83255239164112</v>
      </c>
      <c r="P144" s="14">
        <f>P117*Inputs!$H$61</f>
        <v>825.69992926341854</v>
      </c>
      <c r="Q144" s="14">
        <f>Q117*Inputs!$H$61</f>
        <v>881.46421272910402</v>
      </c>
      <c r="R144" s="14">
        <f>R117*Inputs!$H$61</f>
        <v>922.37954550460483</v>
      </c>
      <c r="S144" s="14">
        <f>S117*Inputs!$H$61</f>
        <v>972.24927226469072</v>
      </c>
      <c r="T144" s="14">
        <f>T117*Inputs!$H$61</f>
        <v>1033.0369047424776</v>
      </c>
      <c r="U144" s="14">
        <f>U117*Inputs!$H$61</f>
        <v>1081.0498648787584</v>
      </c>
      <c r="V144" s="14">
        <f>V117*Inputs!$H$61</f>
        <v>1124.2527417705312</v>
      </c>
      <c r="W144" s="14">
        <f>W117*Inputs!$H$61</f>
        <v>1184.9988189667029</v>
      </c>
      <c r="X144" s="187">
        <f>X117*Inputs!$H$61</f>
        <v>1239.5392524977158</v>
      </c>
      <c r="Y144" s="158">
        <f>Y117*Inputs!$H$61</f>
        <v>1244.9075890190163</v>
      </c>
      <c r="Z144" s="158">
        <f>Z117*Inputs!$H$61</f>
        <v>1270.4731043104316</v>
      </c>
      <c r="AA144" s="158">
        <f>AA117*Inputs!$H$61</f>
        <v>1283.9257897151037</v>
      </c>
      <c r="AB144" s="158">
        <f>AB117*Inputs!$H$61</f>
        <v>1292.2571493860014</v>
      </c>
      <c r="AC144" s="158">
        <f>AC117*Inputs!$H$61</f>
        <v>1302.4013351828096</v>
      </c>
      <c r="AD144" s="158">
        <f>AD117*Inputs!$H$61</f>
        <v>1308.0509551038313</v>
      </c>
      <c r="AE144" s="158">
        <f>AE117*Inputs!$H$61</f>
        <v>1319.0805970180204</v>
      </c>
      <c r="AF144" s="158">
        <f>AF117*Inputs!$H$61</f>
        <v>1330.9917901361457</v>
      </c>
      <c r="AG144" s="158">
        <f>AG117*Inputs!$H$61</f>
        <v>1356.3319226135748</v>
      </c>
      <c r="AH144" s="187">
        <f>AH117*Inputs!$H$61</f>
        <v>1375.5924098924399</v>
      </c>
      <c r="AI144" s="48"/>
    </row>
    <row r="145" spans="1:35">
      <c r="A145" s="10" t="s">
        <v>58</v>
      </c>
      <c r="C145" s="331">
        <f>SUM(C140,C143,C144)</f>
        <v>13422.60081</v>
      </c>
      <c r="D145" s="331">
        <f>SUM(D140,D143,D144)</f>
        <v>13384.100062114307</v>
      </c>
      <c r="E145" s="331">
        <f t="shared" ref="E145:AH145" si="94">SUM(E140,E143,E144)</f>
        <v>15014.368522392542</v>
      </c>
      <c r="F145" s="331">
        <f t="shared" si="94"/>
        <v>15287.308649356428</v>
      </c>
      <c r="G145" s="331">
        <f t="shared" si="94"/>
        <v>13667.606826065543</v>
      </c>
      <c r="H145" s="402">
        <f t="shared" si="94"/>
        <v>13685.389944359533</v>
      </c>
      <c r="I145" s="14">
        <f t="shared" si="94"/>
        <v>13462.895744608677</v>
      </c>
      <c r="J145" s="14">
        <f t="shared" si="94"/>
        <v>13831.381952870966</v>
      </c>
      <c r="K145" s="14">
        <f t="shared" si="94"/>
        <v>14068.482582181401</v>
      </c>
      <c r="L145" s="14">
        <f t="shared" si="94"/>
        <v>14278.22761937945</v>
      </c>
      <c r="M145" s="14">
        <f t="shared" si="94"/>
        <v>14472.698140180097</v>
      </c>
      <c r="N145" s="187">
        <f t="shared" si="94"/>
        <v>14659.260060705601</v>
      </c>
      <c r="O145" s="14">
        <f t="shared" si="94"/>
        <v>14898.385024617932</v>
      </c>
      <c r="P145" s="14">
        <f t="shared" si="94"/>
        <v>15079.758412387213</v>
      </c>
      <c r="Q145" s="14">
        <f t="shared" si="94"/>
        <v>15215.289199534514</v>
      </c>
      <c r="R145" s="14">
        <f t="shared" si="94"/>
        <v>15275.86050985323</v>
      </c>
      <c r="S145" s="14">
        <f t="shared" si="94"/>
        <v>15363.918667912365</v>
      </c>
      <c r="T145" s="14">
        <f t="shared" si="94"/>
        <v>15522.504933541533</v>
      </c>
      <c r="U145" s="14">
        <f t="shared" si="94"/>
        <v>15604.581091070771</v>
      </c>
      <c r="V145" s="14">
        <f t="shared" si="94"/>
        <v>15657.573755765885</v>
      </c>
      <c r="W145" s="14">
        <f t="shared" si="94"/>
        <v>15833.977128590243</v>
      </c>
      <c r="X145" s="187">
        <f t="shared" si="94"/>
        <v>15944.0428041535</v>
      </c>
      <c r="Y145" s="158">
        <f t="shared" si="94"/>
        <v>15975.899811533513</v>
      </c>
      <c r="Z145" s="158">
        <f t="shared" si="94"/>
        <v>16104.507743430371</v>
      </c>
      <c r="AA145" s="158">
        <f t="shared" si="94"/>
        <v>16177.545406220501</v>
      </c>
      <c r="AB145" s="158">
        <f t="shared" si="94"/>
        <v>16225.946538731658</v>
      </c>
      <c r="AC145" s="158">
        <f t="shared" si="94"/>
        <v>16293.642774129132</v>
      </c>
      <c r="AD145" s="158">
        <f t="shared" si="94"/>
        <v>16380.15869205007</v>
      </c>
      <c r="AE145" s="158">
        <f t="shared" si="94"/>
        <v>16501.622644518353</v>
      </c>
      <c r="AF145" s="158">
        <f t="shared" si="94"/>
        <v>16592.041191382094</v>
      </c>
      <c r="AG145" s="158">
        <f t="shared" si="94"/>
        <v>16778.56938791792</v>
      </c>
      <c r="AH145" s="187">
        <f t="shared" si="94"/>
        <v>16915.799455419197</v>
      </c>
      <c r="AI145" s="48"/>
    </row>
    <row r="146" spans="1:35" s="1" customFormat="1">
      <c r="A146" s="1" t="s">
        <v>335</v>
      </c>
      <c r="B146" s="13"/>
      <c r="C146" s="341">
        <f>C145-'Output - Jobs vs Yr (BAU)'!C73</f>
        <v>1.0887299999994866</v>
      </c>
      <c r="D146" s="341">
        <f>D145-'Output - Jobs vs Yr (BAU)'!D73</f>
        <v>63.414982114305531</v>
      </c>
      <c r="E146" s="341">
        <f>E145-'Output - Jobs vs Yr (BAU)'!E73</f>
        <v>-171.97791636657712</v>
      </c>
      <c r="F146" s="341">
        <f>F145-'Output - Jobs vs Yr (BAU)'!F73</f>
        <v>-26.965937829818358</v>
      </c>
      <c r="G146" s="341">
        <f>G145-'Output - Jobs vs Yr (BAU)'!G73</f>
        <v>197.67351518231408</v>
      </c>
      <c r="H146" s="405">
        <f>H145-'Output - Jobs vs Yr (BAU)'!H73</f>
        <v>-0.10223999999834632</v>
      </c>
      <c r="I146" s="15">
        <f>I145-'Output - Jobs vs Yr (BAU)'!I73</f>
        <v>-79.090999819327408</v>
      </c>
      <c r="J146" s="15">
        <f>J145-'Output - Jobs vs Yr (BAU)'!J73</f>
        <v>-7.386187309764864</v>
      </c>
      <c r="K146" s="15">
        <f>K145-'Output - Jobs vs Yr (BAU)'!K73</f>
        <v>64.700552430627795</v>
      </c>
      <c r="L146" s="15">
        <f>L145-'Output - Jobs vs Yr (BAU)'!L73</f>
        <v>168.33091950600829</v>
      </c>
      <c r="M146" s="15">
        <f>M145-'Output - Jobs vs Yr (BAU)'!M73</f>
        <v>270.29715827194923</v>
      </c>
      <c r="N146" s="182">
        <f>N145-'Output - Jobs vs Yr (BAU)'!N73</f>
        <v>399.00203225665973</v>
      </c>
      <c r="O146" s="15">
        <f>O145-'Output - Jobs vs Yr (BAU)'!O73</f>
        <v>433.35250994832313</v>
      </c>
      <c r="P146" s="15">
        <f>P145-'Output - Jobs vs Yr (BAU)'!P73</f>
        <v>470.86804297109666</v>
      </c>
      <c r="Q146" s="15">
        <f>Q145-'Output - Jobs vs Yr (BAU)'!Q73</f>
        <v>494.39059375691431</v>
      </c>
      <c r="R146" s="15">
        <f>R145-'Output - Jobs vs Yr (BAU)'!R73</f>
        <v>494.39121603490639</v>
      </c>
      <c r="S146" s="15">
        <f>S145-'Output - Jobs vs Yr (BAU)'!S73</f>
        <v>511.02987548427154</v>
      </c>
      <c r="T146" s="15">
        <f>T145-'Output - Jobs vs Yr (BAU)'!T73</f>
        <v>530.77845433299626</v>
      </c>
      <c r="U146" s="15">
        <f>U145-'Output - Jobs vs Yr (BAU)'!U73</f>
        <v>540.09374269273758</v>
      </c>
      <c r="V146" s="15">
        <f>V145-'Output - Jobs vs Yr (BAU)'!V73</f>
        <v>544.79422429137958</v>
      </c>
      <c r="W146" s="15">
        <f>W145-'Output - Jobs vs Yr (BAU)'!W73</f>
        <v>565.86640401838667</v>
      </c>
      <c r="X146" s="190">
        <f>X145-'Output - Jobs vs Yr (BAU)'!X73</f>
        <v>583.92283894381217</v>
      </c>
      <c r="Y146" s="130">
        <f>Y145-'Output - Jobs vs Yr (BAU)'!Y73</f>
        <v>587.1409798403547</v>
      </c>
      <c r="Z146" s="130">
        <f>Z145-'Output - Jobs vs Yr (BAU)'!Z73</f>
        <v>612.67261365671584</v>
      </c>
      <c r="AA146" s="130">
        <f>AA145-'Output - Jobs vs Yr (BAU)'!AA73</f>
        <v>630.0878982076083</v>
      </c>
      <c r="AB146" s="130">
        <f>AB145-'Output - Jobs vs Yr (BAU)'!AB73</f>
        <v>640.0166394376447</v>
      </c>
      <c r="AC146" s="130">
        <f>AC145-'Output - Jobs vs Yr (BAU)'!AC73</f>
        <v>652.3974413747037</v>
      </c>
      <c r="AD146" s="130">
        <f>AD145-'Output - Jobs vs Yr (BAU)'!AD73</f>
        <v>641.0216844010265</v>
      </c>
      <c r="AE146" s="130">
        <f>AE145-'Output - Jobs vs Yr (BAU)'!AE73</f>
        <v>631.57341783033007</v>
      </c>
      <c r="AF146" s="130">
        <f>AF145-'Output - Jobs vs Yr (BAU)'!AF73</f>
        <v>645.68192827846542</v>
      </c>
      <c r="AG146" s="130">
        <f>AG145-'Output - Jobs vs Yr (BAU)'!AG73</f>
        <v>677.95917498595009</v>
      </c>
      <c r="AH146" s="190">
        <f>AH145-'Output - Jobs vs Yr (BAU)'!AH73</f>
        <v>706.63326571444304</v>
      </c>
    </row>
    <row r="147" spans="1:35" s="1" customFormat="1">
      <c r="A147" s="11"/>
      <c r="B147" s="13"/>
      <c r="C147" s="328"/>
      <c r="D147" s="341"/>
      <c r="E147" s="341"/>
      <c r="F147" s="341"/>
      <c r="G147" s="341"/>
      <c r="H147" s="405"/>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80"/>
    </row>
    <row r="148" spans="1:35" hidden="1">
      <c r="A148" s="1" t="s">
        <v>199</v>
      </c>
    </row>
    <row r="149" spans="1:35" hidden="1">
      <c r="A149" s="20" t="s">
        <v>197</v>
      </c>
      <c r="C149" s="333">
        <f>'backup - EIA liq_fuelS_aeo2014'!E44</f>
        <v>7088.7783050537164</v>
      </c>
      <c r="D149" s="333">
        <f>'backup - EIA liq_fuelS_aeo2014'!F44</f>
        <v>7149.5953941345133</v>
      </c>
      <c r="E149" s="333">
        <f>'backup - EIA liq_fuelS_aeo2014'!G44</f>
        <v>6912.5827950000003</v>
      </c>
      <c r="F149" s="333">
        <f>'backup - EIA liq_fuelS_aeo2014'!H44</f>
        <v>6786.185485</v>
      </c>
      <c r="G149" s="333">
        <f>'backup - EIA liq_fuelS_aeo2014'!I44</f>
        <v>6929.6414350000005</v>
      </c>
      <c r="H149" s="406">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0">
        <f>'backup - EIA liq_fuelS_aeo2014'!Z44</f>
        <v>6908.05278</v>
      </c>
    </row>
    <row r="150" spans="1:35" hidden="1">
      <c r="A150" s="20" t="s">
        <v>198</v>
      </c>
      <c r="C150" s="333">
        <f>'backup - EIA liq_fuelS_aeo2014'!E44</f>
        <v>7088.7783050537164</v>
      </c>
      <c r="D150" s="333">
        <f>'backup - EIA liq_fuelS_aeo2014'!F44</f>
        <v>7149.5953941345133</v>
      </c>
      <c r="E150" s="333">
        <f>'backup - EIA liq_fuelS_aeo2014'!G44</f>
        <v>6912.5827950000003</v>
      </c>
      <c r="F150" s="333">
        <f>'backup - EIA liq_fuelS_aeo2014'!H44</f>
        <v>6786.185485</v>
      </c>
      <c r="G150" s="333">
        <f>'backup - EIA liq_fuelS_aeo2014'!I44</f>
        <v>6929.6414350000005</v>
      </c>
      <c r="H150" s="406">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0">
        <f>'backup - EIA liq_fuelS_aeo2014'!Z44</f>
        <v>6908.05278</v>
      </c>
    </row>
    <row r="151" spans="1:35" hidden="1">
      <c r="A151" s="20" t="s">
        <v>200</v>
      </c>
      <c r="C151" s="342">
        <f>'backup - EIA liq_fuelS_aeo2014'!E46</f>
        <v>273.77869168296451</v>
      </c>
      <c r="D151" s="342">
        <f>'backup - EIA liq_fuelS_aeo2014'!F46</f>
        <v>330.59007454663532</v>
      </c>
      <c r="E151" s="342">
        <f>'backup - EIA liq_fuelS_aeo2014'!G46</f>
        <v>346.41273999999999</v>
      </c>
      <c r="F151" s="342">
        <f>'backup - EIA liq_fuelS_aeo2014'!H46</f>
        <v>332.23648773503913</v>
      </c>
      <c r="G151" s="342">
        <f>'backup - EIA liq_fuelS_aeo2014'!I46</f>
        <v>336.63400877733272</v>
      </c>
      <c r="H151" s="407">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1">
        <f>'backup - EIA liq_fuelS_aeo2014'!Z46</f>
        <v>459.60339229062083</v>
      </c>
    </row>
    <row r="152" spans="1:35" hidden="1">
      <c r="A152" s="20" t="s">
        <v>203</v>
      </c>
      <c r="C152" s="332">
        <f>C151/C149</f>
        <v>3.8621421054708789E-2</v>
      </c>
      <c r="D152" s="332">
        <f t="shared" ref="D152:X152" si="95">D151/D149</f>
        <v>4.62389906452398E-2</v>
      </c>
      <c r="E152" s="332">
        <f t="shared" si="95"/>
        <v>5.0113358533740347E-2</v>
      </c>
      <c r="F152" s="332">
        <f t="shared" si="95"/>
        <v>4.8957766991398283E-2</v>
      </c>
      <c r="G152" s="332">
        <f t="shared" si="95"/>
        <v>4.8578849560248959E-2</v>
      </c>
      <c r="H152" s="284">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42">
        <f>'backup - EIA liq_fuelS_aeo2014'!E46</f>
        <v>273.77869168296451</v>
      </c>
      <c r="D153" s="342">
        <f>'backup - EIA liq_fuelS_aeo2014'!F46</f>
        <v>330.59007454663532</v>
      </c>
      <c r="E153" s="342">
        <f>'backup - EIA liq_fuelS_aeo2014'!G46</f>
        <v>346.41273999999999</v>
      </c>
      <c r="F153" s="342">
        <f>'backup - EIA liq_fuelS_aeo2014'!H46</f>
        <v>332.23648773503913</v>
      </c>
      <c r="G153" s="342">
        <f>'backup - EIA liq_fuelS_aeo2014'!I46</f>
        <v>336.63400877733272</v>
      </c>
      <c r="H153" s="407">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1">
        <f>'backup - EIA liq_fuelS_aeo2014'!Z46</f>
        <v>459.60339229062083</v>
      </c>
    </row>
    <row r="154" spans="1:35" hidden="1">
      <c r="A154" t="s">
        <v>204</v>
      </c>
      <c r="C154" s="332">
        <f>C153/C149</f>
        <v>3.8621421054708789E-2</v>
      </c>
      <c r="D154" s="332">
        <f t="shared" ref="D154:X154" si="96">D153/D149</f>
        <v>4.62389906452398E-2</v>
      </c>
      <c r="E154" s="332">
        <f t="shared" si="96"/>
        <v>5.0113358533740347E-2</v>
      </c>
      <c r="F154" s="332">
        <f t="shared" si="96"/>
        <v>4.8957766991398283E-2</v>
      </c>
      <c r="G154" s="332">
        <f t="shared" si="96"/>
        <v>4.8578849560248959E-2</v>
      </c>
      <c r="H154" s="284">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42">
        <f>MAX(C151,C153)</f>
        <v>273.77869168296451</v>
      </c>
      <c r="D155" s="342">
        <f t="shared" ref="D155:X155" si="97">MAX(D151,D153)</f>
        <v>330.59007454663532</v>
      </c>
      <c r="E155" s="342">
        <f t="shared" si="97"/>
        <v>346.41273999999999</v>
      </c>
      <c r="F155" s="342">
        <f t="shared" si="97"/>
        <v>332.23648773503913</v>
      </c>
      <c r="G155" s="342">
        <f t="shared" si="97"/>
        <v>336.63400877733272</v>
      </c>
      <c r="H155" s="407">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1">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3">
        <f>C149-C150</f>
        <v>0</v>
      </c>
      <c r="D157" s="333">
        <f t="shared" ref="D157:X157" si="98">D149-D150</f>
        <v>0</v>
      </c>
      <c r="E157" s="333">
        <f t="shared" si="98"/>
        <v>0</v>
      </c>
      <c r="F157" s="333">
        <f t="shared" si="98"/>
        <v>0</v>
      </c>
      <c r="G157" s="333">
        <f t="shared" si="98"/>
        <v>0</v>
      </c>
      <c r="H157" s="406">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70">
        <f t="shared" si="98"/>
        <v>0</v>
      </c>
    </row>
    <row r="158" spans="1:35" hidden="1"/>
    <row r="159" spans="1:35" hidden="1">
      <c r="A159" s="1" t="s">
        <v>252</v>
      </c>
    </row>
    <row r="160" spans="1:35" hidden="1">
      <c r="A160" t="s">
        <v>285</v>
      </c>
      <c r="C160" s="330">
        <v>0</v>
      </c>
      <c r="D160" s="330">
        <v>0</v>
      </c>
      <c r="E160" s="330">
        <v>0</v>
      </c>
      <c r="F160" s="330">
        <v>0</v>
      </c>
      <c r="G160" s="330">
        <v>0</v>
      </c>
      <c r="H160" s="286">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330">
        <v>0</v>
      </c>
      <c r="D161" s="330">
        <v>0</v>
      </c>
      <c r="E161" s="330">
        <v>0</v>
      </c>
      <c r="F161" s="330">
        <v>0</v>
      </c>
      <c r="G161" s="330">
        <v>0</v>
      </c>
      <c r="H161" s="286">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330">
        <v>0</v>
      </c>
      <c r="D162" s="330">
        <v>0</v>
      </c>
      <c r="E162" s="330">
        <v>0</v>
      </c>
      <c r="F162" s="330">
        <v>0</v>
      </c>
      <c r="G162" s="330">
        <v>0</v>
      </c>
      <c r="H162" s="286">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330">
        <v>0</v>
      </c>
      <c r="D163" s="330">
        <v>0</v>
      </c>
      <c r="E163" s="330">
        <v>0</v>
      </c>
      <c r="F163" s="330">
        <v>0</v>
      </c>
      <c r="G163" s="330">
        <v>0</v>
      </c>
      <c r="H163" s="286">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330" t="e">
        <f>C157*#REF!</f>
        <v>#REF!</v>
      </c>
      <c r="D164" s="330" t="e">
        <f>D157*#REF!</f>
        <v>#REF!</v>
      </c>
      <c r="E164" s="330" t="e">
        <f>E157*#REF!</f>
        <v>#REF!</v>
      </c>
      <c r="F164" s="330" t="e">
        <f>F157*#REF!</f>
        <v>#REF!</v>
      </c>
      <c r="G164" s="330" t="e">
        <f>G157*#REF!</f>
        <v>#REF!</v>
      </c>
      <c r="H164" s="286"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330">
        <v>0</v>
      </c>
      <c r="D165" s="330">
        <v>0</v>
      </c>
      <c r="E165" s="330">
        <v>0</v>
      </c>
      <c r="F165" s="330">
        <v>0</v>
      </c>
      <c r="G165" s="330">
        <v>0</v>
      </c>
      <c r="H165" s="286">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330" t="e">
        <f>C162-C160+C164+C165</f>
        <v>#REF!</v>
      </c>
      <c r="D166" s="330">
        <v>0</v>
      </c>
      <c r="E166" s="330">
        <v>0</v>
      </c>
      <c r="F166" s="330">
        <v>0</v>
      </c>
      <c r="G166" s="330">
        <v>0</v>
      </c>
      <c r="H166" s="286">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0">
        <v>0</v>
      </c>
      <c r="D169" s="330">
        <v>0</v>
      </c>
      <c r="E169" s="330">
        <v>0</v>
      </c>
      <c r="F169" s="330">
        <v>0</v>
      </c>
      <c r="G169" s="330">
        <v>0</v>
      </c>
      <c r="H169" s="286">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330">
        <v>0</v>
      </c>
      <c r="D170" s="330">
        <v>0</v>
      </c>
      <c r="E170" s="330">
        <v>0</v>
      </c>
      <c r="F170" s="330">
        <v>0</v>
      </c>
      <c r="G170" s="330">
        <v>0</v>
      </c>
      <c r="H170" s="286">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330">
        <v>0</v>
      </c>
      <c r="D171" s="330">
        <v>0</v>
      </c>
      <c r="E171" s="330">
        <v>0</v>
      </c>
      <c r="F171" s="330">
        <v>0</v>
      </c>
      <c r="G171" s="330">
        <v>0</v>
      </c>
      <c r="H171" s="286">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330">
        <v>0</v>
      </c>
      <c r="D172" s="330">
        <v>0</v>
      </c>
      <c r="E172" s="330">
        <v>0</v>
      </c>
      <c r="F172" s="330">
        <v>0</v>
      </c>
      <c r="G172" s="330">
        <v>0</v>
      </c>
      <c r="H172" s="286">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330" t="e">
        <f>'backup - Mass Transit'!BC34</f>
        <v>#REF!</v>
      </c>
      <c r="D173" s="330" t="e">
        <f>'backup - Mass Transit'!BD34</f>
        <v>#REF!</v>
      </c>
      <c r="E173" s="330" t="e">
        <f>'backup - Mass Transit'!BE34</f>
        <v>#REF!</v>
      </c>
      <c r="F173" s="330" t="e">
        <f>'backup - Mass Transit'!BF34</f>
        <v>#REF!</v>
      </c>
      <c r="G173" s="330" t="e">
        <f>'backup - Mass Transit'!BG34</f>
        <v>#REF!</v>
      </c>
      <c r="H173" s="286"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328">
        <v>2009</v>
      </c>
      <c r="D175" s="328">
        <v>2010</v>
      </c>
      <c r="E175" s="328">
        <v>2011</v>
      </c>
      <c r="F175" s="328">
        <v>2012</v>
      </c>
      <c r="G175" s="328">
        <v>2013</v>
      </c>
      <c r="H175" s="400">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334">
        <f>'Output - Jobs vs Yr (BAU)'!C55+'Output - Jobs vs Yr (BAU)'!C73</f>
        <v>28334.30328</v>
      </c>
      <c r="D176" s="334">
        <f>'Output - Jobs vs Yr (BAU)'!D55+'Output - Jobs vs Yr (BAU)'!D73</f>
        <v>28121.446279999996</v>
      </c>
      <c r="E176" s="334">
        <f>'Output - Jobs vs Yr (BAU)'!E55+'Output - Jobs vs Yr (BAU)'!E73</f>
        <v>32060.064704047028</v>
      </c>
      <c r="F176" s="334">
        <f>'Output - Jobs vs Yr (BAU)'!F55+'Output - Jobs vs Yr (BAU)'!F73</f>
        <v>32330.135239615411</v>
      </c>
      <c r="G176" s="334">
        <f>'Output - Jobs vs Yr (BAU)'!G55+'Output - Jobs vs Yr (BAU)'!G73</f>
        <v>28436.525878531258</v>
      </c>
      <c r="H176" s="404">
        <f>'Output - Jobs vs Yr (BAU)'!H55+'Output - Jobs vs Yr (BAU)'!H73</f>
        <v>28891.594611425673</v>
      </c>
      <c r="I176" s="19">
        <f>'Output - Jobs vs Yr (BAU)'!I55+'Output - Jobs vs Yr (BAU)'!I73</f>
        <v>28588.63868268134</v>
      </c>
      <c r="J176" s="19">
        <f>'Output - Jobs vs Yr (BAU)'!J55+'Output - Jobs vs Yr (BAU)'!J73</f>
        <v>29215.177184825989</v>
      </c>
      <c r="K176" s="19">
        <f>'Output - Jobs vs Yr (BAU)'!K55+'Output - Jobs vs Yr (BAU)'!K73</f>
        <v>29563.539840584963</v>
      </c>
      <c r="L176" s="19">
        <f>'Output - Jobs vs Yr (BAU)'!L55+'Output - Jobs vs Yr (BAU)'!L73</f>
        <v>29787.559699732814</v>
      </c>
      <c r="M176" s="19">
        <f>'Output - Jobs vs Yr (BAU)'!M55+'Output - Jobs vs Yr (BAU)'!M73</f>
        <v>29982.846517361642</v>
      </c>
      <c r="N176" s="182">
        <f>'Output - Jobs vs Yr (BAU)'!N55+'Output - Jobs vs Yr (BAU)'!N73</f>
        <v>30104.989171169986</v>
      </c>
      <c r="O176" s="19">
        <f>'Output - Jobs vs Yr (BAU)'!O55+'Output - Jobs vs Yr (BAU)'!O73</f>
        <v>30537.290864302508</v>
      </c>
      <c r="P176" s="19">
        <f>'Output - Jobs vs Yr (BAU)'!P55+'Output - Jobs vs Yr (BAU)'!P73</f>
        <v>30840.990779878462</v>
      </c>
      <c r="Q176" s="19">
        <f>'Output - Jobs vs Yr (BAU)'!Q55+'Output - Jobs vs Yr (BAU)'!Q73</f>
        <v>31077.45261219715</v>
      </c>
      <c r="R176" s="19">
        <f>'Output - Jobs vs Yr (BAU)'!R55+'Output - Jobs vs Yr (BAU)'!R73</f>
        <v>31205.324064727574</v>
      </c>
      <c r="S176" s="19">
        <f>'Output - Jobs vs Yr (BAU)'!S55+'Output - Jobs vs Yr (BAU)'!S73</f>
        <v>31356.098561792642</v>
      </c>
      <c r="T176" s="19">
        <f>'Output - Jobs vs Yr (BAU)'!T55+'Output - Jobs vs Yr (BAU)'!T73</f>
        <v>31649.200344995796</v>
      </c>
      <c r="U176" s="19">
        <f>'Output - Jobs vs Yr (BAU)'!U55+'Output - Jobs vs Yr (BAU)'!U73</f>
        <v>31802.806624353623</v>
      </c>
      <c r="V176" s="19">
        <f>'Output - Jobs vs Yr (BAU)'!V55+'Output - Jobs vs Yr (BAU)'!V73</f>
        <v>31904.756788668397</v>
      </c>
      <c r="W176" s="19">
        <f>'Output - Jobs vs Yr (BAU)'!W55+'Output - Jobs vs Yr (BAU)'!W73</f>
        <v>32232.67819631836</v>
      </c>
      <c r="X176" s="182">
        <f>'Output - Jobs vs Yr (BAU)'!X55+'Output - Jobs vs Yr (BAU)'!X73</f>
        <v>32426.919926553779</v>
      </c>
      <c r="Y176" s="206">
        <f>'Output - Jobs vs Yr (BAU)'!Y55+'Output - Jobs vs Yr (BAU)'!Y73</f>
        <v>32487.379755796661</v>
      </c>
      <c r="Z176" s="206">
        <f>'Output - Jobs vs Yr (BAU)'!Z55+'Output - Jobs vs Yr (BAU)'!Z73</f>
        <v>32704.985273966602</v>
      </c>
      <c r="AA176" s="206">
        <f>'Output - Jobs vs Yr (BAU)'!AA55+'Output - Jobs vs Yr (BAU)'!AA73</f>
        <v>32822.41029469388</v>
      </c>
      <c r="AB176" s="206">
        <f>'Output - Jobs vs Yr (BAU)'!AB55+'Output - Jobs vs Yr (BAU)'!AB73</f>
        <v>32903.629787398466</v>
      </c>
      <c r="AC176" s="206">
        <f>'Output - Jobs vs Yr (BAU)'!AC55+'Output - Jobs vs Yr (BAU)'!AC73</f>
        <v>33020.406813592679</v>
      </c>
      <c r="AD176" s="206">
        <f>'Output - Jobs vs Yr (BAU)'!AD55+'Output - Jobs vs Yr (BAU)'!AD73</f>
        <v>33227.067016147972</v>
      </c>
      <c r="AE176" s="206">
        <f>'Output - Jobs vs Yr (BAU)'!AE55+'Output - Jobs vs Yr (BAU)'!AE73</f>
        <v>33503.437256341378</v>
      </c>
      <c r="AF176" s="206">
        <f>'Output - Jobs vs Yr (BAU)'!AF55+'Output - Jobs vs Yr (BAU)'!AF73</f>
        <v>33664.536222107658</v>
      </c>
      <c r="AG176" s="206">
        <f>'Output - Jobs vs Yr (BAU)'!AG55+'Output - Jobs vs Yr (BAU)'!AG73</f>
        <v>33990.177116189712</v>
      </c>
      <c r="AH176" s="182">
        <f>'Output - Jobs vs Yr (BAU)'!AH55+'Output - Jobs vs Yr (BAU)'!AH73</f>
        <v>34219.350844932254</v>
      </c>
      <c r="AI176" s="1"/>
    </row>
    <row r="177" spans="1:35">
      <c r="A177" s="76" t="s">
        <v>300</v>
      </c>
      <c r="C177" s="334">
        <f>'Output - Jobs vs Yr (BAU)'!C55</f>
        <v>14912.791199999998</v>
      </c>
      <c r="D177" s="334">
        <f>'Output - Jobs vs Yr (BAU)'!D55</f>
        <v>14800.761199999997</v>
      </c>
      <c r="E177" s="334">
        <f>'Output - Jobs vs Yr (BAU)'!E55</f>
        <v>16873.718265287909</v>
      </c>
      <c r="F177" s="334">
        <f>'Output - Jobs vs Yr (BAU)'!F55</f>
        <v>17015.860652429164</v>
      </c>
      <c r="G177" s="334">
        <f>'Output - Jobs vs Yr (BAU)'!G55</f>
        <v>14966.592567648029</v>
      </c>
      <c r="H177" s="404">
        <f>'Output - Jobs vs Yr (BAU)'!H55</f>
        <v>15206.102427066144</v>
      </c>
      <c r="I177" s="19">
        <f>'Output - Jobs vs Yr (BAU)'!I55</f>
        <v>15046.651938253335</v>
      </c>
      <c r="J177" s="19">
        <f>'Output - Jobs vs Yr (BAU)'!J55</f>
        <v>15376.409044645257</v>
      </c>
      <c r="K177" s="19">
        <f>'Output - Jobs vs Yr (BAU)'!K55</f>
        <v>15559.757810834191</v>
      </c>
      <c r="L177" s="19">
        <f>'Output - Jobs vs Yr (BAU)'!L55</f>
        <v>15677.662999859373</v>
      </c>
      <c r="M177" s="19">
        <f>'Output - Jobs vs Yr (BAU)'!M55</f>
        <v>15780.445535453495</v>
      </c>
      <c r="N177" s="182">
        <f>'Output - Jobs vs Yr (BAU)'!N55</f>
        <v>15844.731142721044</v>
      </c>
      <c r="O177" s="19">
        <f>'Output - Jobs vs Yr (BAU)'!O55</f>
        <v>16072.258349632897</v>
      </c>
      <c r="P177" s="19">
        <f>'Output - Jobs vs Yr (BAU)'!P55</f>
        <v>16232.100410462346</v>
      </c>
      <c r="Q177" s="19">
        <f>'Output - Jobs vs Yr (BAU)'!Q55</f>
        <v>16356.554006419548</v>
      </c>
      <c r="R177" s="19">
        <f>'Output - Jobs vs Yr (BAU)'!R55</f>
        <v>16423.854770909249</v>
      </c>
      <c r="S177" s="19">
        <f>'Output - Jobs vs Yr (BAU)'!S55</f>
        <v>16503.209769364548</v>
      </c>
      <c r="T177" s="19">
        <f>'Output - Jobs vs Yr (BAU)'!T55</f>
        <v>16657.473865787259</v>
      </c>
      <c r="U177" s="19">
        <f>'Output - Jobs vs Yr (BAU)'!U55</f>
        <v>16738.319275975591</v>
      </c>
      <c r="V177" s="19">
        <f>'Output - Jobs vs Yr (BAU)'!V55</f>
        <v>16791.977257193892</v>
      </c>
      <c r="W177" s="19">
        <f>'Output - Jobs vs Yr (BAU)'!W55</f>
        <v>16964.567471746504</v>
      </c>
      <c r="X177" s="182">
        <f>'Output - Jobs vs Yr (BAU)'!X55</f>
        <v>17066.799961344092</v>
      </c>
      <c r="Y177" s="206">
        <f>'Output - Jobs vs Yr (BAU)'!Y55</f>
        <v>17098.620924103503</v>
      </c>
      <c r="Z177" s="206">
        <f>'Output - Jobs vs Yr (BAU)'!Z55</f>
        <v>17213.150144192947</v>
      </c>
      <c r="AA177" s="206">
        <f>'Output - Jobs vs Yr (BAU)'!AA55</f>
        <v>17274.952786680988</v>
      </c>
      <c r="AB177" s="206">
        <f>'Output - Jobs vs Yr (BAU)'!AB55</f>
        <v>17317.699888104453</v>
      </c>
      <c r="AC177" s="206">
        <f>'Output - Jobs vs Yr (BAU)'!AC55</f>
        <v>17379.161480838255</v>
      </c>
      <c r="AD177" s="206">
        <f>'Output - Jobs vs Yr (BAU)'!AD55</f>
        <v>17487.93000849893</v>
      </c>
      <c r="AE177" s="206">
        <f>'Output - Jobs vs Yr (BAU)'!AE55</f>
        <v>17633.388029653357</v>
      </c>
      <c r="AF177" s="206">
        <f>'Output - Jobs vs Yr (BAU)'!AF55</f>
        <v>17718.176959004028</v>
      </c>
      <c r="AG177" s="206">
        <f>'Output - Jobs vs Yr (BAU)'!AG55</f>
        <v>17889.566903257743</v>
      </c>
      <c r="AH177" s="182">
        <f>'Output - Jobs vs Yr (BAU)'!AH55</f>
        <v>18010.184655227498</v>
      </c>
      <c r="AI177" s="1"/>
    </row>
    <row r="178" spans="1:35">
      <c r="A178" s="76" t="s">
        <v>301</v>
      </c>
      <c r="C178" s="334">
        <f>'Output - Jobs vs Yr (BAU)'!C73</f>
        <v>13421.51208</v>
      </c>
      <c r="D178" s="334">
        <f>'Output - Jobs vs Yr (BAU)'!D73</f>
        <v>13320.685080000001</v>
      </c>
      <c r="E178" s="334">
        <f>'Output - Jobs vs Yr (BAU)'!E73</f>
        <v>15186.346438759119</v>
      </c>
      <c r="F178" s="334">
        <f>'Output - Jobs vs Yr (BAU)'!F73</f>
        <v>15314.274587186246</v>
      </c>
      <c r="G178" s="334">
        <f>'Output - Jobs vs Yr (BAU)'!G73</f>
        <v>13469.933310883229</v>
      </c>
      <c r="H178" s="404">
        <f>'Output - Jobs vs Yr (BAU)'!H73</f>
        <v>13685.492184359531</v>
      </c>
      <c r="I178" s="19">
        <f>'Output - Jobs vs Yr (BAU)'!I73</f>
        <v>13541.986744428004</v>
      </c>
      <c r="J178" s="19">
        <f>'Output - Jobs vs Yr (BAU)'!J73</f>
        <v>13838.768140180731</v>
      </c>
      <c r="K178" s="19">
        <f>'Output - Jobs vs Yr (BAU)'!K73</f>
        <v>14003.782029750773</v>
      </c>
      <c r="L178" s="19">
        <f>'Output - Jobs vs Yr (BAU)'!L73</f>
        <v>14109.896699873441</v>
      </c>
      <c r="M178" s="19">
        <f>'Output - Jobs vs Yr (BAU)'!M73</f>
        <v>14202.400981908148</v>
      </c>
      <c r="N178" s="182">
        <f>'Output - Jobs vs Yr (BAU)'!N73</f>
        <v>14260.258028448941</v>
      </c>
      <c r="O178" s="19">
        <f>'Output - Jobs vs Yr (BAU)'!O73</f>
        <v>14465.032514669609</v>
      </c>
      <c r="P178" s="19">
        <f>'Output - Jobs vs Yr (BAU)'!P73</f>
        <v>14608.890369416116</v>
      </c>
      <c r="Q178" s="19">
        <f>'Output - Jobs vs Yr (BAU)'!Q73</f>
        <v>14720.8986057776</v>
      </c>
      <c r="R178" s="19">
        <f>'Output - Jobs vs Yr (BAU)'!R73</f>
        <v>14781.469293818323</v>
      </c>
      <c r="S178" s="19">
        <f>'Output - Jobs vs Yr (BAU)'!S73</f>
        <v>14852.888792428093</v>
      </c>
      <c r="T178" s="19">
        <f>'Output - Jobs vs Yr (BAU)'!T73</f>
        <v>14991.726479208537</v>
      </c>
      <c r="U178" s="19">
        <f>'Output - Jobs vs Yr (BAU)'!U73</f>
        <v>15064.487348378034</v>
      </c>
      <c r="V178" s="19">
        <f>'Output - Jobs vs Yr (BAU)'!V73</f>
        <v>15112.779531474505</v>
      </c>
      <c r="W178" s="19">
        <f>'Output - Jobs vs Yr (BAU)'!W73</f>
        <v>15268.110724571856</v>
      </c>
      <c r="X178" s="182">
        <f>'Output - Jobs vs Yr (BAU)'!X73</f>
        <v>15360.119965209688</v>
      </c>
      <c r="Y178" s="206">
        <f>'Output - Jobs vs Yr (BAU)'!Y73</f>
        <v>15388.758831693158</v>
      </c>
      <c r="Z178" s="206">
        <f>'Output - Jobs vs Yr (BAU)'!Z73</f>
        <v>15491.835129773655</v>
      </c>
      <c r="AA178" s="206">
        <f>'Output - Jobs vs Yr (BAU)'!AA73</f>
        <v>15547.457508012893</v>
      </c>
      <c r="AB178" s="206">
        <f>'Output - Jobs vs Yr (BAU)'!AB73</f>
        <v>15585.929899294013</v>
      </c>
      <c r="AC178" s="206">
        <f>'Output - Jobs vs Yr (BAU)'!AC73</f>
        <v>15641.245332754428</v>
      </c>
      <c r="AD178" s="206">
        <f>'Output - Jobs vs Yr (BAU)'!AD73</f>
        <v>15739.137007649044</v>
      </c>
      <c r="AE178" s="206">
        <f>'Output - Jobs vs Yr (BAU)'!AE73</f>
        <v>15870.049226688023</v>
      </c>
      <c r="AF178" s="206">
        <f>'Output - Jobs vs Yr (BAU)'!AF73</f>
        <v>15946.359263103628</v>
      </c>
      <c r="AG178" s="206">
        <f>'Output - Jobs vs Yr (BAU)'!AG73</f>
        <v>16100.61021293197</v>
      </c>
      <c r="AH178" s="182">
        <f>'Output - Jobs vs Yr (BAU)'!AH73</f>
        <v>16209.166189704754</v>
      </c>
      <c r="AI178" s="80" t="s">
        <v>0</v>
      </c>
    </row>
    <row r="179" spans="1:35">
      <c r="A179" s="75" t="s">
        <v>298</v>
      </c>
      <c r="C179" s="331">
        <f>SUM(C118,C145)</f>
        <v>28336.602009999999</v>
      </c>
      <c r="D179" s="331">
        <f t="shared" ref="D179:AH179" si="99">SUM(D118,D145)+D249+D252</f>
        <v>28255.322675068543</v>
      </c>
      <c r="E179" s="331">
        <f t="shared" si="99"/>
        <v>31697.000605320678</v>
      </c>
      <c r="F179" s="331">
        <f t="shared" si="99"/>
        <v>32273.207578711255</v>
      </c>
      <c r="G179" s="331">
        <f t="shared" si="99"/>
        <v>28853.837045698892</v>
      </c>
      <c r="H179" s="402">
        <f>SUM(H118,H145)+H249+H252</f>
        <v>28891.379071425676</v>
      </c>
      <c r="I179" s="14">
        <f t="shared" si="99"/>
        <v>28421.669112427138</v>
      </c>
      <c r="J179" s="14">
        <f t="shared" si="99"/>
        <v>29199.584475134434</v>
      </c>
      <c r="K179" s="14">
        <f t="shared" si="99"/>
        <v>29700.130281827132</v>
      </c>
      <c r="L179" s="14">
        <f t="shared" si="99"/>
        <v>30142.925396073941</v>
      </c>
      <c r="M179" s="14">
        <f t="shared" si="99"/>
        <v>30553.474311411308</v>
      </c>
      <c r="N179" s="187">
        <f t="shared" si="99"/>
        <v>30947.327295492592</v>
      </c>
      <c r="O179" s="14">
        <f t="shared" si="99"/>
        <v>31452.146678657125</v>
      </c>
      <c r="P179" s="14">
        <f t="shared" si="99"/>
        <v>31835.046066020448</v>
      </c>
      <c r="Q179" s="14">
        <f t="shared" si="99"/>
        <v>32121.166628474675</v>
      </c>
      <c r="R179" s="14">
        <f t="shared" si="99"/>
        <v>32249.039404030002</v>
      </c>
      <c r="S179" s="14">
        <f t="shared" si="99"/>
        <v>32434.939970407693</v>
      </c>
      <c r="T179" s="14">
        <f t="shared" si="99"/>
        <v>32769.733211101317</v>
      </c>
      <c r="U179" s="14">
        <f t="shared" si="99"/>
        <v>32943.005109855141</v>
      </c>
      <c r="V179" s="14">
        <f t="shared" si="99"/>
        <v>33054.878522808227</v>
      </c>
      <c r="W179" s="14">
        <f t="shared" si="99"/>
        <v>33427.285657811401</v>
      </c>
      <c r="X179" s="187">
        <f t="shared" si="99"/>
        <v>33659.646540733243</v>
      </c>
      <c r="Y179" s="158">
        <f t="shared" si="99"/>
        <v>33726.90023413764</v>
      </c>
      <c r="Z179" s="158">
        <f t="shared" si="99"/>
        <v>33998.405883370913</v>
      </c>
      <c r="AA179" s="158">
        <f t="shared" si="99"/>
        <v>34152.596518088576</v>
      </c>
      <c r="AB179" s="158">
        <f t="shared" si="99"/>
        <v>34254.776699217837</v>
      </c>
      <c r="AC179" s="158">
        <f t="shared" si="99"/>
        <v>34397.690987468501</v>
      </c>
      <c r="AD179" s="158">
        <f t="shared" si="99"/>
        <v>34580.3357176516</v>
      </c>
      <c r="AE179" s="158">
        <f t="shared" si="99"/>
        <v>34836.759633670968</v>
      </c>
      <c r="AF179" s="158">
        <f t="shared" si="99"/>
        <v>35027.643247924905</v>
      </c>
      <c r="AG179" s="158">
        <f t="shared" si="99"/>
        <v>35421.425016083638</v>
      </c>
      <c r="AH179" s="187">
        <f t="shared" si="99"/>
        <v>35711.132954463188</v>
      </c>
    </row>
    <row r="180" spans="1:35">
      <c r="A180" s="76" t="s">
        <v>302</v>
      </c>
      <c r="C180" s="331">
        <f>C118</f>
        <v>14914.001199999999</v>
      </c>
      <c r="D180" s="331">
        <f t="shared" ref="D180:AH180" si="100">D118+D250+D253</f>
        <v>14871.222612954236</v>
      </c>
      <c r="E180" s="331">
        <f t="shared" si="100"/>
        <v>16682.632082928136</v>
      </c>
      <c r="F180" s="331">
        <f t="shared" si="100"/>
        <v>16985.898929354829</v>
      </c>
      <c r="G180" s="331">
        <f t="shared" si="100"/>
        <v>15186.230219633348</v>
      </c>
      <c r="H180" s="402">
        <f t="shared" si="100"/>
        <v>15205.989127066143</v>
      </c>
      <c r="I180" s="14">
        <f t="shared" si="100"/>
        <v>14958.77336781846</v>
      </c>
      <c r="J180" s="14">
        <f t="shared" si="100"/>
        <v>15368.202522263467</v>
      </c>
      <c r="K180" s="14">
        <f t="shared" si="100"/>
        <v>15631.647699645731</v>
      </c>
      <c r="L180" s="14">
        <f t="shared" si="100"/>
        <v>15864.697776694491</v>
      </c>
      <c r="M180" s="14">
        <f t="shared" si="100"/>
        <v>16080.776171231209</v>
      </c>
      <c r="N180" s="187">
        <f t="shared" si="100"/>
        <v>16288.067234786991</v>
      </c>
      <c r="O180" s="14">
        <f t="shared" si="100"/>
        <v>16553.761654039194</v>
      </c>
      <c r="P180" s="14">
        <f t="shared" si="100"/>
        <v>16755.287653633237</v>
      </c>
      <c r="Q180" s="14">
        <f t="shared" si="100"/>
        <v>16905.877428940163</v>
      </c>
      <c r="R180" s="14">
        <f t="shared" si="100"/>
        <v>16973.178894176774</v>
      </c>
      <c r="S180" s="14">
        <f t="shared" si="100"/>
        <v>17071.021302495326</v>
      </c>
      <c r="T180" s="14">
        <f t="shared" si="100"/>
        <v>17247.228277559785</v>
      </c>
      <c r="U180" s="14">
        <f t="shared" si="100"/>
        <v>17338.424018784368</v>
      </c>
      <c r="V180" s="14">
        <f t="shared" si="100"/>
        <v>17397.30476704234</v>
      </c>
      <c r="W180" s="14">
        <f t="shared" si="100"/>
        <v>17593.308529221158</v>
      </c>
      <c r="X180" s="187">
        <f t="shared" si="100"/>
        <v>17715.603736579746</v>
      </c>
      <c r="Y180" s="158">
        <f t="shared" si="100"/>
        <v>17751.000422604127</v>
      </c>
      <c r="Z180" s="158">
        <f t="shared" si="100"/>
        <v>17893.898139940546</v>
      </c>
      <c r="AA180" s="158">
        <f t="shared" si="100"/>
        <v>17975.051111868077</v>
      </c>
      <c r="AB180" s="158">
        <f t="shared" si="100"/>
        <v>18028.830160486177</v>
      </c>
      <c r="AC180" s="158">
        <f t="shared" si="100"/>
        <v>18104.048213339371</v>
      </c>
      <c r="AD180" s="158">
        <f t="shared" si="100"/>
        <v>18200.17702560153</v>
      </c>
      <c r="AE180" s="158">
        <f t="shared" si="100"/>
        <v>18335.136989152616</v>
      </c>
      <c r="AF180" s="158">
        <f t="shared" si="100"/>
        <v>18435.602056542812</v>
      </c>
      <c r="AG180" s="158">
        <f t="shared" si="100"/>
        <v>18642.855628165722</v>
      </c>
      <c r="AH180" s="187">
        <f t="shared" si="100"/>
        <v>18795.333499043991</v>
      </c>
    </row>
    <row r="181" spans="1:35">
      <c r="A181" s="76" t="s">
        <v>303</v>
      </c>
      <c r="C181" s="331">
        <f>C145</f>
        <v>13422.60081</v>
      </c>
      <c r="D181" s="331">
        <f t="shared" ref="D181:AH181" si="101">D145+D251+D254</f>
        <v>13384.100062114307</v>
      </c>
      <c r="E181" s="331">
        <f t="shared" si="101"/>
        <v>15014.368522392542</v>
      </c>
      <c r="F181" s="331">
        <f t="shared" si="101"/>
        <v>15287.308649356428</v>
      </c>
      <c r="G181" s="331">
        <f t="shared" si="101"/>
        <v>13667.606826065543</v>
      </c>
      <c r="H181" s="402">
        <f>H145+H251+H254</f>
        <v>13685.389944359533</v>
      </c>
      <c r="I181" s="14">
        <f t="shared" si="101"/>
        <v>13462.895744608677</v>
      </c>
      <c r="J181" s="14">
        <f t="shared" si="101"/>
        <v>13831.381952870966</v>
      </c>
      <c r="K181" s="14">
        <f t="shared" si="101"/>
        <v>14068.482582181401</v>
      </c>
      <c r="L181" s="14">
        <f t="shared" si="101"/>
        <v>14278.22761937945</v>
      </c>
      <c r="M181" s="14">
        <f t="shared" si="101"/>
        <v>14472.698140180097</v>
      </c>
      <c r="N181" s="187">
        <f t="shared" si="101"/>
        <v>14659.260060705601</v>
      </c>
      <c r="O181" s="14">
        <f t="shared" si="101"/>
        <v>14898.385024617932</v>
      </c>
      <c r="P181" s="14">
        <f t="shared" si="101"/>
        <v>15079.758412387213</v>
      </c>
      <c r="Q181" s="14">
        <f t="shared" si="101"/>
        <v>15215.289199534514</v>
      </c>
      <c r="R181" s="14">
        <f t="shared" si="101"/>
        <v>15275.86050985323</v>
      </c>
      <c r="S181" s="14">
        <f t="shared" si="101"/>
        <v>15363.918667912365</v>
      </c>
      <c r="T181" s="14">
        <f t="shared" si="101"/>
        <v>15522.504933541533</v>
      </c>
      <c r="U181" s="14">
        <f t="shared" si="101"/>
        <v>15604.581091070771</v>
      </c>
      <c r="V181" s="14">
        <f t="shared" si="101"/>
        <v>15657.573755765885</v>
      </c>
      <c r="W181" s="14">
        <f t="shared" si="101"/>
        <v>15833.977128590243</v>
      </c>
      <c r="X181" s="187">
        <f t="shared" si="101"/>
        <v>15944.0428041535</v>
      </c>
      <c r="Y181" s="158">
        <f t="shared" si="101"/>
        <v>15975.899811533513</v>
      </c>
      <c r="Z181" s="158">
        <f t="shared" si="101"/>
        <v>16104.507743430371</v>
      </c>
      <c r="AA181" s="158">
        <f t="shared" si="101"/>
        <v>16177.545406220501</v>
      </c>
      <c r="AB181" s="158">
        <f t="shared" si="101"/>
        <v>16225.946538731658</v>
      </c>
      <c r="AC181" s="158">
        <f t="shared" si="101"/>
        <v>16293.642774129132</v>
      </c>
      <c r="AD181" s="158">
        <f t="shared" si="101"/>
        <v>16380.15869205007</v>
      </c>
      <c r="AE181" s="158">
        <f t="shared" si="101"/>
        <v>16501.622644518353</v>
      </c>
      <c r="AF181" s="158">
        <f t="shared" si="101"/>
        <v>16592.041191382094</v>
      </c>
      <c r="AG181" s="158">
        <f t="shared" si="101"/>
        <v>16778.56938791792</v>
      </c>
      <c r="AH181" s="187">
        <f t="shared" si="101"/>
        <v>16915.799455419197</v>
      </c>
      <c r="AI181" s="31" t="s">
        <v>0</v>
      </c>
    </row>
    <row r="182" spans="1:35" s="1" customFormat="1">
      <c r="A182" s="75" t="s">
        <v>304</v>
      </c>
      <c r="B182" s="13"/>
      <c r="C182" s="341" t="s">
        <v>0</v>
      </c>
      <c r="D182" s="341">
        <f t="shared" ref="D182:AH182" si="102">D179-D176</f>
        <v>133.87639506854612</v>
      </c>
      <c r="E182" s="341">
        <f t="shared" si="102"/>
        <v>-363.06409872635049</v>
      </c>
      <c r="F182" s="341">
        <f t="shared" si="102"/>
        <v>-56.927660904155346</v>
      </c>
      <c r="G182" s="341">
        <f t="shared" si="102"/>
        <v>417.31116716763427</v>
      </c>
      <c r="H182" s="405">
        <f>H179-H176</f>
        <v>-0.21553999999741791</v>
      </c>
      <c r="I182" s="15">
        <f t="shared" si="102"/>
        <v>-166.96957025420124</v>
      </c>
      <c r="J182" s="15">
        <f t="shared" si="102"/>
        <v>-15.592709691554774</v>
      </c>
      <c r="K182" s="15">
        <f t="shared" si="102"/>
        <v>136.59044124216962</v>
      </c>
      <c r="L182" s="15">
        <f t="shared" si="102"/>
        <v>355.36569634112675</v>
      </c>
      <c r="M182" s="15">
        <f t="shared" si="102"/>
        <v>570.62779404966568</v>
      </c>
      <c r="N182" s="190">
        <f t="shared" si="102"/>
        <v>842.33812432260675</v>
      </c>
      <c r="O182" s="15">
        <f t="shared" si="102"/>
        <v>914.85581435461791</v>
      </c>
      <c r="P182" s="15">
        <f t="shared" si="102"/>
        <v>994.05528614198556</v>
      </c>
      <c r="Q182" s="15">
        <f t="shared" si="102"/>
        <v>1043.7140162775249</v>
      </c>
      <c r="R182" s="15">
        <f t="shared" si="102"/>
        <v>1043.7153393024273</v>
      </c>
      <c r="S182" s="15">
        <f t="shared" si="102"/>
        <v>1078.8414086150515</v>
      </c>
      <c r="T182" s="15">
        <f t="shared" si="102"/>
        <v>1120.532866105521</v>
      </c>
      <c r="U182" s="15">
        <f t="shared" si="102"/>
        <v>1140.198485501518</v>
      </c>
      <c r="V182" s="15">
        <f t="shared" si="102"/>
        <v>1150.1217341398296</v>
      </c>
      <c r="W182" s="15">
        <f t="shared" si="102"/>
        <v>1194.6074614930403</v>
      </c>
      <c r="X182" s="190">
        <f t="shared" si="102"/>
        <v>1232.7266141794644</v>
      </c>
      <c r="Y182" s="130">
        <f t="shared" si="102"/>
        <v>1239.520478340979</v>
      </c>
      <c r="Z182" s="130">
        <f t="shared" si="102"/>
        <v>1293.4206094043111</v>
      </c>
      <c r="AA182" s="130">
        <f t="shared" si="102"/>
        <v>1330.1862233946958</v>
      </c>
      <c r="AB182" s="130">
        <f t="shared" si="102"/>
        <v>1351.1469118193709</v>
      </c>
      <c r="AC182" s="130">
        <f t="shared" si="102"/>
        <v>1377.2841738758216</v>
      </c>
      <c r="AD182" s="130">
        <f t="shared" si="102"/>
        <v>1353.2687015036281</v>
      </c>
      <c r="AE182" s="130">
        <f t="shared" si="102"/>
        <v>1333.3223773295904</v>
      </c>
      <c r="AF182" s="130">
        <f t="shared" si="102"/>
        <v>1363.1070258172476</v>
      </c>
      <c r="AG182" s="130">
        <f t="shared" si="102"/>
        <v>1431.2478998939259</v>
      </c>
      <c r="AH182" s="190">
        <f t="shared" si="102"/>
        <v>1491.7821095309337</v>
      </c>
    </row>
    <row r="183" spans="1:35" s="20" customFormat="1">
      <c r="A183" s="20" t="s">
        <v>305</v>
      </c>
      <c r="B183" s="33"/>
      <c r="C183" s="334" t="s">
        <v>0</v>
      </c>
      <c r="D183" s="334">
        <f t="shared" ref="D183:AH183" si="103">D180-D177</f>
        <v>70.461412954238767</v>
      </c>
      <c r="E183" s="334">
        <f t="shared" si="103"/>
        <v>-191.08618235977337</v>
      </c>
      <c r="F183" s="334">
        <f t="shared" si="103"/>
        <v>-29.961723074335168</v>
      </c>
      <c r="G183" s="334">
        <f t="shared" si="103"/>
        <v>219.63765198531837</v>
      </c>
      <c r="H183" s="404">
        <f>H180-H177</f>
        <v>-0.11330000000089058</v>
      </c>
      <c r="I183" s="19">
        <f t="shared" si="103"/>
        <v>-87.878570434875655</v>
      </c>
      <c r="J183" s="19">
        <f t="shared" si="103"/>
        <v>-8.2065223817899096</v>
      </c>
      <c r="K183" s="19">
        <f t="shared" si="103"/>
        <v>71.889888811540004</v>
      </c>
      <c r="L183" s="19">
        <f t="shared" si="103"/>
        <v>187.03477683511846</v>
      </c>
      <c r="M183" s="19">
        <f t="shared" si="103"/>
        <v>300.33063577771463</v>
      </c>
      <c r="N183" s="182">
        <f t="shared" si="103"/>
        <v>443.33609206594701</v>
      </c>
      <c r="O183" s="19">
        <f t="shared" si="103"/>
        <v>481.50330440629659</v>
      </c>
      <c r="P183" s="19">
        <f t="shared" si="103"/>
        <v>523.18724317089072</v>
      </c>
      <c r="Q183" s="19">
        <f t="shared" si="103"/>
        <v>549.32342252061426</v>
      </c>
      <c r="R183" s="19">
        <f t="shared" si="103"/>
        <v>549.32412326752456</v>
      </c>
      <c r="S183" s="19">
        <f t="shared" si="103"/>
        <v>567.81153313077812</v>
      </c>
      <c r="T183" s="19">
        <f t="shared" si="103"/>
        <v>589.75441177252651</v>
      </c>
      <c r="U183" s="19">
        <f t="shared" si="103"/>
        <v>600.10474280877679</v>
      </c>
      <c r="V183" s="19">
        <f t="shared" si="103"/>
        <v>605.32750984844824</v>
      </c>
      <c r="W183" s="19">
        <f t="shared" si="103"/>
        <v>628.74105747465364</v>
      </c>
      <c r="X183" s="182">
        <f t="shared" si="103"/>
        <v>648.80377523565403</v>
      </c>
      <c r="Y183" s="206">
        <f t="shared" si="103"/>
        <v>652.37949850062432</v>
      </c>
      <c r="Z183" s="206">
        <f t="shared" si="103"/>
        <v>680.74799574759891</v>
      </c>
      <c r="AA183" s="206">
        <f t="shared" si="103"/>
        <v>700.09832518708936</v>
      </c>
      <c r="AB183" s="206">
        <f t="shared" si="103"/>
        <v>711.13027238172435</v>
      </c>
      <c r="AC183" s="206">
        <f t="shared" si="103"/>
        <v>724.88673250111606</v>
      </c>
      <c r="AD183" s="206">
        <f t="shared" si="103"/>
        <v>712.24701710259978</v>
      </c>
      <c r="AE183" s="206">
        <f t="shared" si="103"/>
        <v>701.74895949925849</v>
      </c>
      <c r="AF183" s="206">
        <f t="shared" si="103"/>
        <v>717.42509753878403</v>
      </c>
      <c r="AG183" s="206">
        <f t="shared" si="103"/>
        <v>753.28872490797949</v>
      </c>
      <c r="AH183" s="182">
        <f t="shared" si="103"/>
        <v>785.14884381649244</v>
      </c>
    </row>
    <row r="184" spans="1:35" s="20" customFormat="1">
      <c r="A184" s="20" t="s">
        <v>306</v>
      </c>
      <c r="B184" s="33"/>
      <c r="C184" s="334" t="s">
        <v>0</v>
      </c>
      <c r="D184" s="334">
        <f t="shared" ref="D184:AH184" si="104">D181-D178</f>
        <v>63.414982114305531</v>
      </c>
      <c r="E184" s="334">
        <f t="shared" si="104"/>
        <v>-171.97791636657712</v>
      </c>
      <c r="F184" s="334">
        <f t="shared" si="104"/>
        <v>-26.965937829818358</v>
      </c>
      <c r="G184" s="334">
        <f t="shared" si="104"/>
        <v>197.67351518231408</v>
      </c>
      <c r="H184" s="404">
        <f t="shared" si="104"/>
        <v>-0.10223999999834632</v>
      </c>
      <c r="I184" s="19">
        <f t="shared" si="104"/>
        <v>-79.090999819327408</v>
      </c>
      <c r="J184" s="19">
        <f t="shared" si="104"/>
        <v>-7.386187309764864</v>
      </c>
      <c r="K184" s="19">
        <f t="shared" si="104"/>
        <v>64.700552430627795</v>
      </c>
      <c r="L184" s="19">
        <f t="shared" si="104"/>
        <v>168.33091950600829</v>
      </c>
      <c r="M184" s="19">
        <f t="shared" si="104"/>
        <v>270.29715827194923</v>
      </c>
      <c r="N184" s="182">
        <f t="shared" si="104"/>
        <v>399.00203225665973</v>
      </c>
      <c r="O184" s="19">
        <f t="shared" si="104"/>
        <v>433.35250994832313</v>
      </c>
      <c r="P184" s="19">
        <f t="shared" si="104"/>
        <v>470.86804297109666</v>
      </c>
      <c r="Q184" s="19">
        <f t="shared" si="104"/>
        <v>494.39059375691431</v>
      </c>
      <c r="R184" s="19">
        <f t="shared" si="104"/>
        <v>494.39121603490639</v>
      </c>
      <c r="S184" s="19">
        <f t="shared" si="104"/>
        <v>511.02987548427154</v>
      </c>
      <c r="T184" s="19">
        <f t="shared" si="104"/>
        <v>530.77845433299626</v>
      </c>
      <c r="U184" s="19">
        <f t="shared" si="104"/>
        <v>540.09374269273758</v>
      </c>
      <c r="V184" s="19">
        <f t="shared" si="104"/>
        <v>544.79422429137958</v>
      </c>
      <c r="W184" s="19">
        <f t="shared" si="104"/>
        <v>565.86640401838667</v>
      </c>
      <c r="X184" s="182">
        <f t="shared" si="104"/>
        <v>583.92283894381217</v>
      </c>
      <c r="Y184" s="206">
        <f t="shared" si="104"/>
        <v>587.1409798403547</v>
      </c>
      <c r="Z184" s="206">
        <f t="shared" si="104"/>
        <v>612.67261365671584</v>
      </c>
      <c r="AA184" s="206">
        <f t="shared" si="104"/>
        <v>630.0878982076083</v>
      </c>
      <c r="AB184" s="206">
        <f t="shared" si="104"/>
        <v>640.0166394376447</v>
      </c>
      <c r="AC184" s="206">
        <f t="shared" si="104"/>
        <v>652.3974413747037</v>
      </c>
      <c r="AD184" s="206">
        <f t="shared" si="104"/>
        <v>641.0216844010265</v>
      </c>
      <c r="AE184" s="206">
        <f t="shared" si="104"/>
        <v>631.57341783033007</v>
      </c>
      <c r="AF184" s="206">
        <f t="shared" si="104"/>
        <v>645.68192827846542</v>
      </c>
      <c r="AG184" s="206">
        <f t="shared" si="104"/>
        <v>677.95917498595009</v>
      </c>
      <c r="AH184" s="182">
        <f t="shared" si="104"/>
        <v>706.63326571444304</v>
      </c>
    </row>
    <row r="185" spans="1:35" s="1" customFormat="1">
      <c r="A185" s="1" t="s">
        <v>450</v>
      </c>
      <c r="B185" s="13"/>
      <c r="C185" s="341"/>
      <c r="D185" s="341">
        <f>D182</f>
        <v>133.87639506854612</v>
      </c>
      <c r="E185" s="341">
        <f>D185+E182</f>
        <v>-229.18770365780438</v>
      </c>
      <c r="F185" s="341">
        <f t="shared" ref="E185:N187" si="105">E185+F182</f>
        <v>-286.11536456195972</v>
      </c>
      <c r="G185" s="341">
        <f t="shared" si="105"/>
        <v>131.19580260567454</v>
      </c>
      <c r="H185" s="405">
        <f>H182</f>
        <v>-0.21553999999741791</v>
      </c>
      <c r="I185" s="15">
        <f t="shared" si="105"/>
        <v>-167.18511025419866</v>
      </c>
      <c r="J185" s="15">
        <f t="shared" si="105"/>
        <v>-182.77781994575344</v>
      </c>
      <c r="K185" s="15">
        <f t="shared" si="105"/>
        <v>-46.187378703583818</v>
      </c>
      <c r="L185" s="15">
        <f t="shared" si="105"/>
        <v>309.17831763754293</v>
      </c>
      <c r="M185" s="15">
        <f t="shared" si="105"/>
        <v>879.80611168720861</v>
      </c>
      <c r="N185" s="15">
        <f t="shared" si="105"/>
        <v>1722.1442360098154</v>
      </c>
      <c r="O185" s="15">
        <f t="shared" ref="O185:X185" si="106">N185+O182</f>
        <v>2637.0000503644333</v>
      </c>
      <c r="P185" s="15">
        <f t="shared" si="106"/>
        <v>3631.0553365064188</v>
      </c>
      <c r="Q185" s="15">
        <f t="shared" si="106"/>
        <v>4674.7693527839438</v>
      </c>
      <c r="R185" s="15">
        <f t="shared" si="106"/>
        <v>5718.4846920863711</v>
      </c>
      <c r="S185" s="130">
        <f t="shared" si="106"/>
        <v>6797.3261007014225</v>
      </c>
      <c r="T185" s="15">
        <f t="shared" si="106"/>
        <v>7917.8589668069435</v>
      </c>
      <c r="U185" s="15">
        <f t="shared" si="106"/>
        <v>9058.0574523084615</v>
      </c>
      <c r="V185" s="15">
        <f t="shared" si="106"/>
        <v>10208.179186448291</v>
      </c>
      <c r="W185" s="15">
        <f t="shared" si="106"/>
        <v>11402.786647941331</v>
      </c>
      <c r="X185" s="190">
        <f t="shared" si="106"/>
        <v>12635.513262120796</v>
      </c>
      <c r="Y185" s="130">
        <f t="shared" ref="Y185:AH185" si="107">X185+Y182</f>
        <v>13875.033740461775</v>
      </c>
      <c r="Z185" s="130">
        <f t="shared" si="107"/>
        <v>15168.454349866086</v>
      </c>
      <c r="AA185" s="130">
        <f t="shared" si="107"/>
        <v>16498.640573260782</v>
      </c>
      <c r="AB185" s="130">
        <f t="shared" si="107"/>
        <v>17849.787485080153</v>
      </c>
      <c r="AC185" s="130">
        <f t="shared" si="107"/>
        <v>19227.071658955974</v>
      </c>
      <c r="AD185" s="130">
        <f t="shared" si="107"/>
        <v>20580.340360459602</v>
      </c>
      <c r="AE185" s="130">
        <f t="shared" si="107"/>
        <v>21913.662737789193</v>
      </c>
      <c r="AF185" s="130">
        <f t="shared" si="107"/>
        <v>23276.76976360644</v>
      </c>
      <c r="AG185" s="130">
        <f t="shared" si="107"/>
        <v>24708.017663500366</v>
      </c>
      <c r="AH185" s="190">
        <f t="shared" si="107"/>
        <v>26199.7997730313</v>
      </c>
    </row>
    <row r="186" spans="1:35" s="20" customFormat="1">
      <c r="A186" s="20" t="s">
        <v>451</v>
      </c>
      <c r="B186" s="33"/>
      <c r="C186" s="334"/>
      <c r="D186" s="334">
        <f>D183</f>
        <v>70.461412954238767</v>
      </c>
      <c r="E186" s="334">
        <f t="shared" si="105"/>
        <v>-120.62476940553461</v>
      </c>
      <c r="F186" s="334">
        <f t="shared" si="105"/>
        <v>-150.58649247986978</v>
      </c>
      <c r="G186" s="334">
        <f t="shared" si="105"/>
        <v>69.051159505448595</v>
      </c>
      <c r="H186" s="404">
        <f t="shared" si="105"/>
        <v>68.937859505447705</v>
      </c>
      <c r="I186" s="19">
        <f t="shared" ref="I186:X186" si="108">H186+I183</f>
        <v>-18.940710929427951</v>
      </c>
      <c r="J186" s="19">
        <f t="shared" si="108"/>
        <v>-27.14723331121786</v>
      </c>
      <c r="K186" s="19">
        <f t="shared" si="108"/>
        <v>44.742655500322144</v>
      </c>
      <c r="L186" s="19">
        <f t="shared" si="108"/>
        <v>231.77743233544061</v>
      </c>
      <c r="M186" s="19">
        <f t="shared" si="108"/>
        <v>532.10806811315524</v>
      </c>
      <c r="N186" s="182">
        <f t="shared" si="108"/>
        <v>975.44416017910225</v>
      </c>
      <c r="O186" s="19">
        <f t="shared" si="108"/>
        <v>1456.9474645853988</v>
      </c>
      <c r="P186" s="19">
        <f t="shared" si="108"/>
        <v>1980.1347077562896</v>
      </c>
      <c r="Q186" s="19">
        <f t="shared" si="108"/>
        <v>2529.4581302769038</v>
      </c>
      <c r="R186" s="19">
        <f t="shared" si="108"/>
        <v>3078.7822535444284</v>
      </c>
      <c r="S186" s="206">
        <f t="shared" si="108"/>
        <v>3646.5937866752065</v>
      </c>
      <c r="T186" s="19">
        <f t="shared" si="108"/>
        <v>4236.348198447733</v>
      </c>
      <c r="U186" s="19">
        <f t="shared" si="108"/>
        <v>4836.4529412565098</v>
      </c>
      <c r="V186" s="19">
        <f t="shared" si="108"/>
        <v>5441.780451104958</v>
      </c>
      <c r="W186" s="19">
        <f t="shared" si="108"/>
        <v>6070.5215085796117</v>
      </c>
      <c r="X186" s="182">
        <f t="shared" si="108"/>
        <v>6719.3252838152657</v>
      </c>
      <c r="Y186" s="206">
        <f t="shared" ref="Y186:AH186" si="109">X186+Y183</f>
        <v>7371.70478231589</v>
      </c>
      <c r="Z186" s="206">
        <f t="shared" si="109"/>
        <v>8052.4527780634889</v>
      </c>
      <c r="AA186" s="206">
        <f t="shared" si="109"/>
        <v>8752.5511032505783</v>
      </c>
      <c r="AB186" s="206">
        <f t="shared" si="109"/>
        <v>9463.6813756323027</v>
      </c>
      <c r="AC186" s="206">
        <f t="shared" si="109"/>
        <v>10188.568108133419</v>
      </c>
      <c r="AD186" s="206">
        <f t="shared" si="109"/>
        <v>10900.815125236019</v>
      </c>
      <c r="AE186" s="206">
        <f t="shared" si="109"/>
        <v>11602.564084735277</v>
      </c>
      <c r="AF186" s="206">
        <f t="shared" si="109"/>
        <v>12319.989182274061</v>
      </c>
      <c r="AG186" s="206">
        <f t="shared" si="109"/>
        <v>13073.277907182041</v>
      </c>
      <c r="AH186" s="182">
        <f t="shared" si="109"/>
        <v>13858.426750998533</v>
      </c>
    </row>
    <row r="187" spans="1:35" s="20" customFormat="1">
      <c r="A187" s="20" t="s">
        <v>452</v>
      </c>
      <c r="B187" s="33"/>
      <c r="C187" s="334"/>
      <c r="D187" s="334">
        <f>D184</f>
        <v>63.414982114305531</v>
      </c>
      <c r="E187" s="334">
        <f t="shared" si="105"/>
        <v>-108.56293425227159</v>
      </c>
      <c r="F187" s="334">
        <f t="shared" si="105"/>
        <v>-135.52887208208995</v>
      </c>
      <c r="G187" s="334">
        <f t="shared" si="105"/>
        <v>62.14464310022413</v>
      </c>
      <c r="H187" s="404">
        <f t="shared" si="105"/>
        <v>62.042403100225783</v>
      </c>
      <c r="I187" s="19">
        <f t="shared" ref="I187:X187" si="110">H187+I184</f>
        <v>-17.048596719101624</v>
      </c>
      <c r="J187" s="19">
        <f t="shared" si="110"/>
        <v>-24.434784028866488</v>
      </c>
      <c r="K187" s="19">
        <f t="shared" si="110"/>
        <v>40.265768401761306</v>
      </c>
      <c r="L187" s="19">
        <f t="shared" si="110"/>
        <v>208.59668790776959</v>
      </c>
      <c r="M187" s="19">
        <f t="shared" si="110"/>
        <v>478.89384617971882</v>
      </c>
      <c r="N187" s="182">
        <f t="shared" si="110"/>
        <v>877.89587843637855</v>
      </c>
      <c r="O187" s="19">
        <f t="shared" si="110"/>
        <v>1311.2483883847017</v>
      </c>
      <c r="P187" s="19">
        <f t="shared" si="110"/>
        <v>1782.1164313557983</v>
      </c>
      <c r="Q187" s="19">
        <f t="shared" si="110"/>
        <v>2276.5070251127127</v>
      </c>
      <c r="R187" s="19">
        <f t="shared" si="110"/>
        <v>2770.898241147619</v>
      </c>
      <c r="S187" s="206">
        <f t="shared" si="110"/>
        <v>3281.9281166318906</v>
      </c>
      <c r="T187" s="19">
        <f t="shared" si="110"/>
        <v>3812.7065709648869</v>
      </c>
      <c r="U187" s="19">
        <f t="shared" si="110"/>
        <v>4352.8003136576244</v>
      </c>
      <c r="V187" s="19">
        <f t="shared" si="110"/>
        <v>4897.594537949004</v>
      </c>
      <c r="W187" s="19">
        <f t="shared" si="110"/>
        <v>5463.4609419673907</v>
      </c>
      <c r="X187" s="182">
        <f t="shared" si="110"/>
        <v>6047.3837809112028</v>
      </c>
      <c r="Y187" s="206">
        <f t="shared" ref="Y187:AH187" si="111">X187+Y184</f>
        <v>6634.5247607515576</v>
      </c>
      <c r="Z187" s="206">
        <f t="shared" si="111"/>
        <v>7247.1973744082734</v>
      </c>
      <c r="AA187" s="206">
        <f t="shared" si="111"/>
        <v>7877.2852726158817</v>
      </c>
      <c r="AB187" s="206">
        <f t="shared" si="111"/>
        <v>8517.3019120535264</v>
      </c>
      <c r="AC187" s="206">
        <f t="shared" si="111"/>
        <v>9169.6993534282301</v>
      </c>
      <c r="AD187" s="206">
        <f t="shared" si="111"/>
        <v>9810.7210378292566</v>
      </c>
      <c r="AE187" s="206">
        <f t="shared" si="111"/>
        <v>10442.294455659587</v>
      </c>
      <c r="AF187" s="206">
        <f t="shared" si="111"/>
        <v>11087.976383938052</v>
      </c>
      <c r="AG187" s="206">
        <f t="shared" si="111"/>
        <v>11765.935558924002</v>
      </c>
      <c r="AH187" s="182">
        <f t="shared" si="111"/>
        <v>12472.568824638445</v>
      </c>
    </row>
    <row r="188" spans="1:35" s="519" customFormat="1">
      <c r="A188" s="519" t="s">
        <v>550</v>
      </c>
      <c r="B188" s="520"/>
      <c r="C188" s="521"/>
      <c r="D188"/>
      <c r="E188"/>
      <c r="F188"/>
      <c r="G188"/>
      <c r="H188"/>
      <c r="I188"/>
      <c r="J188"/>
      <c r="K188"/>
      <c r="L188"/>
      <c r="M188"/>
      <c r="N188"/>
      <c r="O188"/>
      <c r="P188"/>
      <c r="Q188"/>
      <c r="R188"/>
      <c r="S188"/>
      <c r="T188"/>
      <c r="U188"/>
      <c r="V188"/>
      <c r="W188"/>
      <c r="X188"/>
      <c r="Y188"/>
      <c r="Z188"/>
      <c r="AA188"/>
      <c r="AB188" s="523"/>
      <c r="AC188" s="523"/>
      <c r="AD188" s="523"/>
      <c r="AE188" s="523"/>
      <c r="AF188" s="523"/>
      <c r="AG188" s="523"/>
      <c r="AH188" s="522"/>
    </row>
    <row r="189" spans="1:35" s="1" customFormat="1">
      <c r="B189" s="13"/>
      <c r="C189" s="341"/>
      <c r="D189" s="341"/>
      <c r="E189" s="341"/>
      <c r="F189" s="341"/>
      <c r="G189" s="341"/>
      <c r="H189" s="405"/>
      <c r="I189" s="15" t="s">
        <v>0</v>
      </c>
      <c r="J189" s="15" t="s">
        <v>0</v>
      </c>
      <c r="K189" s="15" t="s">
        <v>0</v>
      </c>
      <c r="L189" s="15" t="s">
        <v>0</v>
      </c>
      <c r="M189" s="15" t="s">
        <v>0</v>
      </c>
      <c r="N189" s="15" t="s">
        <v>0</v>
      </c>
      <c r="O189" s="130"/>
      <c r="P189" s="130"/>
      <c r="Q189" s="130"/>
      <c r="R189" s="130"/>
      <c r="S189" s="158"/>
      <c r="T189" s="130"/>
      <c r="U189" s="15"/>
      <c r="V189" s="15"/>
      <c r="W189" s="15"/>
      <c r="X189" s="190"/>
      <c r="Y189"/>
      <c r="Z189"/>
      <c r="AA189"/>
      <c r="AB189"/>
      <c r="AC189"/>
      <c r="AD189"/>
      <c r="AE189"/>
      <c r="AF189"/>
      <c r="AG189"/>
      <c r="AH189" s="280"/>
    </row>
    <row r="190" spans="1:35" s="1" customFormat="1">
      <c r="A190" s="1" t="s">
        <v>412</v>
      </c>
      <c r="B190" s="13"/>
      <c r="C190" s="328"/>
      <c r="D190" s="328"/>
      <c r="E190" s="328"/>
      <c r="F190" s="328"/>
      <c r="G190" s="328"/>
      <c r="H190" s="400"/>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80"/>
    </row>
    <row r="191" spans="1:35">
      <c r="A191" t="s">
        <v>406</v>
      </c>
      <c r="I191" s="112"/>
      <c r="J191" s="112"/>
      <c r="K191" s="112"/>
      <c r="L191" s="112"/>
      <c r="M191" s="131"/>
      <c r="N191" s="192"/>
      <c r="O191" s="131"/>
      <c r="P191" s="112"/>
      <c r="Q191" s="112"/>
      <c r="R191" s="131"/>
      <c r="S191" s="131"/>
      <c r="T191" s="131"/>
      <c r="U191" s="131"/>
      <c r="V191" s="112"/>
      <c r="W191" s="112"/>
    </row>
    <row r="192" spans="1:35">
      <c r="A192" t="s">
        <v>407</v>
      </c>
      <c r="I192" s="112"/>
      <c r="J192" s="112"/>
      <c r="K192" s="112"/>
      <c r="L192" s="112"/>
      <c r="M192" s="131"/>
      <c r="N192" s="192"/>
      <c r="O192" s="131"/>
      <c r="P192" s="112"/>
      <c r="Q192" s="112"/>
      <c r="R192" s="131"/>
      <c r="S192" s="131"/>
      <c r="T192" s="131"/>
      <c r="U192" s="131"/>
      <c r="V192" s="112"/>
      <c r="W192" s="112"/>
    </row>
    <row r="193" spans="1:34">
      <c r="A193" t="s">
        <v>408</v>
      </c>
      <c r="I193" s="112"/>
      <c r="J193" s="112"/>
      <c r="K193" s="112"/>
      <c r="L193" s="112"/>
      <c r="M193" s="131"/>
      <c r="N193" s="192"/>
      <c r="O193" s="131"/>
      <c r="P193" s="112"/>
      <c r="Q193" s="112"/>
      <c r="R193" s="131"/>
      <c r="S193" s="131"/>
      <c r="T193" s="131"/>
      <c r="U193" s="131"/>
      <c r="V193" s="112"/>
      <c r="W193" s="112"/>
    </row>
    <row r="194" spans="1:34">
      <c r="A194" t="s">
        <v>388</v>
      </c>
      <c r="C194" s="331">
        <f>SUM(C195:C196)</f>
        <v>1718.9161300000001</v>
      </c>
      <c r="D194" s="331">
        <f t="shared" ref="D194:AH194" si="112">SUM(D195:D196)</f>
        <v>2254.0891300000003</v>
      </c>
      <c r="E194" s="331">
        <f t="shared" si="112"/>
        <v>2154.9707944955853</v>
      </c>
      <c r="F194" s="331">
        <f t="shared" si="112"/>
        <v>2373.6169591193357</v>
      </c>
      <c r="G194" s="331">
        <f t="shared" si="112"/>
        <v>2698.4548870901281</v>
      </c>
      <c r="H194" s="402">
        <f t="shared" si="112"/>
        <v>2724.9016932941049</v>
      </c>
      <c r="I194" s="14">
        <f t="shared" si="112"/>
        <v>2879.8772644115488</v>
      </c>
      <c r="J194" s="14">
        <f t="shared" si="112"/>
        <v>2993.2335101638073</v>
      </c>
      <c r="K194" s="14">
        <f t="shared" si="112"/>
        <v>3059.0030720159921</v>
      </c>
      <c r="L194" s="14">
        <f t="shared" si="112"/>
        <v>3168.0198686700719</v>
      </c>
      <c r="M194" s="14">
        <f t="shared" si="112"/>
        <v>3283.6391707337698</v>
      </c>
      <c r="N194" s="187">
        <f t="shared" si="112"/>
        <v>3311.5468559168357</v>
      </c>
      <c r="O194" s="14">
        <f t="shared" si="112"/>
        <v>3340.2578572377297</v>
      </c>
      <c r="P194" s="14">
        <f t="shared" si="112"/>
        <v>3347.5309256934252</v>
      </c>
      <c r="Q194" s="14">
        <f t="shared" si="112"/>
        <v>3375.2014305761468</v>
      </c>
      <c r="R194" s="14">
        <f t="shared" si="112"/>
        <v>3421.0987697331352</v>
      </c>
      <c r="S194" s="15">
        <f t="shared" si="112"/>
        <v>3406.9405903537327</v>
      </c>
      <c r="T194" s="14">
        <f t="shared" si="112"/>
        <v>3479.1254469254159</v>
      </c>
      <c r="U194" s="14">
        <f t="shared" si="112"/>
        <v>3503.4881738692293</v>
      </c>
      <c r="V194" s="14">
        <f t="shared" si="112"/>
        <v>3515.4165427993707</v>
      </c>
      <c r="W194" s="14">
        <f t="shared" si="112"/>
        <v>3517.644047660935</v>
      </c>
      <c r="X194" s="187">
        <f t="shared" si="112"/>
        <v>3536.2317901339411</v>
      </c>
      <c r="Y194" s="158">
        <f t="shared" si="112"/>
        <v>3573.2815914204116</v>
      </c>
      <c r="Z194" s="158">
        <f t="shared" si="112"/>
        <v>3626.0513646396016</v>
      </c>
      <c r="AA194" s="158">
        <f t="shared" si="112"/>
        <v>3665.5714707709776</v>
      </c>
      <c r="AB194" s="158">
        <f t="shared" si="112"/>
        <v>3707.7611170330847</v>
      </c>
      <c r="AC194" s="158">
        <f t="shared" si="112"/>
        <v>3732.0773730409805</v>
      </c>
      <c r="AD194" s="158">
        <f t="shared" si="112"/>
        <v>3968.5449747567309</v>
      </c>
      <c r="AE194" s="158">
        <f t="shared" si="112"/>
        <v>4233.1238229613291</v>
      </c>
      <c r="AF194" s="158">
        <f t="shared" si="112"/>
        <v>4323.2676714037343</v>
      </c>
      <c r="AG194" s="158">
        <f t="shared" si="112"/>
        <v>4381.0243311323629</v>
      </c>
      <c r="AH194" s="187">
        <f t="shared" si="112"/>
        <v>4459.5207647999441</v>
      </c>
    </row>
    <row r="195" spans="1:34">
      <c r="A195" t="s">
        <v>389</v>
      </c>
      <c r="C195" s="330">
        <f>'Output - Jobs vs Yr (BAU)'!C51</f>
        <v>904.69270000000006</v>
      </c>
      <c r="D195" s="330">
        <f>'Output - Jobs vs Yr (BAU)'!D51</f>
        <v>1186.3627000000001</v>
      </c>
      <c r="E195" s="330">
        <f>'Output - Jobs vs Yr (BAU)'!E51</f>
        <v>1134.1951549976766</v>
      </c>
      <c r="F195" s="330">
        <f>'Output - Jobs vs Yr (BAU)'!F51</f>
        <v>1249.2720837470188</v>
      </c>
      <c r="G195" s="330">
        <f>'Output - Jobs vs Yr (BAU)'!G51</f>
        <v>1420.2394142579619</v>
      </c>
      <c r="H195" s="286">
        <f>'Output - Jobs vs Yr (BAU)'!H51</f>
        <v>1434.1587859442657</v>
      </c>
      <c r="I195" s="118">
        <f>'Output - Jobs vs Yr (BAU)'!I51</f>
        <v>1515.7248760060784</v>
      </c>
      <c r="J195" s="118">
        <f>'Output - Jobs vs Yr (BAU)'!J51</f>
        <v>1575.3860579809511</v>
      </c>
      <c r="K195" s="118">
        <f>'Output - Jobs vs Yr (BAU)'!K51</f>
        <v>1610.0016168505219</v>
      </c>
      <c r="L195" s="118">
        <f>'Output - Jobs vs Yr (BAU)'!L51</f>
        <v>1667.3788782474062</v>
      </c>
      <c r="M195" s="118">
        <f>'Output - Jobs vs Yr (BAU)'!M51</f>
        <v>1728.2311424914578</v>
      </c>
      <c r="N195" s="177">
        <f>'Output - Jobs vs Yr (BAU)'!N51</f>
        <v>1742.9193978509663</v>
      </c>
      <c r="O195" s="118">
        <f>'Output - Jobs vs Yr (BAU)'!O51</f>
        <v>1758.0304511777524</v>
      </c>
      <c r="P195" s="118">
        <f>'Output - Jobs vs Yr (BAU)'!P51</f>
        <v>1761.8583819439079</v>
      </c>
      <c r="Q195" s="118">
        <f>'Output - Jobs vs Yr (BAU)'!Q51</f>
        <v>1776.4218055663932</v>
      </c>
      <c r="R195" s="118">
        <f>'Output - Jobs vs Yr (BAU)'!R51</f>
        <v>1800.5782998595448</v>
      </c>
      <c r="S195" s="118">
        <f>'Output - Jobs vs Yr (BAU)'!S51</f>
        <v>1793.1266265019644</v>
      </c>
      <c r="T195" s="118">
        <f>'Output - Jobs vs Yr (BAU)'!T51</f>
        <v>1831.1186562765347</v>
      </c>
      <c r="U195" s="118">
        <f>'Output - Jobs vs Yr (BAU)'!U51</f>
        <v>1843.9411441416996</v>
      </c>
      <c r="V195" s="118">
        <f>'Output - Jobs vs Yr (BAU)'!V51</f>
        <v>1850.2192330523003</v>
      </c>
      <c r="W195" s="118">
        <f>'Output - Jobs vs Yr (BAU)'!W51</f>
        <v>1851.391604032071</v>
      </c>
      <c r="X195" s="184">
        <f>'Output - Jobs vs Yr (BAU)'!X51</f>
        <v>1861.1746263862847</v>
      </c>
      <c r="Y195" s="271">
        <f>'Output - Jobs vs Yr (BAU)'!Y51</f>
        <v>1880.6745218002166</v>
      </c>
      <c r="Z195" s="271">
        <f>'Output - Jobs vs Yr (BAU)'!Z51</f>
        <v>1908.4480866524218</v>
      </c>
      <c r="AA195" s="271">
        <f>'Output - Jobs vs Yr (BAU)'!AA51</f>
        <v>1929.2481425110409</v>
      </c>
      <c r="AB195" s="271">
        <f>'Output - Jobs vs Yr (BAU)'!AB51</f>
        <v>1951.4532194910971</v>
      </c>
      <c r="AC195" s="271">
        <f>'Output - Jobs vs Yr (BAU)'!AC51</f>
        <v>1964.251248968937</v>
      </c>
      <c r="AD195" s="271">
        <f>'Output - Jobs vs Yr (BAU)'!AD51</f>
        <v>2088.7078814509109</v>
      </c>
      <c r="AE195" s="271">
        <f>'Output - Jobs vs Yr (BAU)'!AE51</f>
        <v>2227.9599068217522</v>
      </c>
      <c r="AF195" s="271">
        <f>'Output - Jobs vs Yr (BAU)'!AF51</f>
        <v>2275.4040375809127</v>
      </c>
      <c r="AG195" s="271">
        <f>'Output - Jobs vs Yr (BAU)'!AG51</f>
        <v>2305.802279543349</v>
      </c>
      <c r="AH195" s="184">
        <f>'Output - Jobs vs Yr (BAU)'!AH51</f>
        <v>2347.1161919999704</v>
      </c>
    </row>
    <row r="196" spans="1:34">
      <c r="A196" t="s">
        <v>390</v>
      </c>
      <c r="C196" s="330">
        <f>'Output - Jobs vs Yr (BAU)'!C69</f>
        <v>814.22343000000001</v>
      </c>
      <c r="D196" s="330">
        <f>'Output - Jobs vs Yr (BAU)'!D69</f>
        <v>1067.7264300000002</v>
      </c>
      <c r="E196" s="330">
        <f>'Output - Jobs vs Yr (BAU)'!E69</f>
        <v>1020.775639497909</v>
      </c>
      <c r="F196" s="330">
        <f>'Output - Jobs vs Yr (BAU)'!F69</f>
        <v>1124.3448753723169</v>
      </c>
      <c r="G196" s="330">
        <f>'Output - Jobs vs Yr (BAU)'!G69</f>
        <v>1278.2154728321659</v>
      </c>
      <c r="H196" s="286">
        <f>'Output - Jobs vs Yr (BAU)'!H69</f>
        <v>1290.742907349839</v>
      </c>
      <c r="I196" s="118">
        <f>'Output - Jobs vs Yr (BAU)'!I69</f>
        <v>1364.1523884054707</v>
      </c>
      <c r="J196" s="118">
        <f>'Output - Jobs vs Yr (BAU)'!J69</f>
        <v>1417.8474521828562</v>
      </c>
      <c r="K196" s="118">
        <f>'Output - Jobs vs Yr (BAU)'!K69</f>
        <v>1449.0014551654699</v>
      </c>
      <c r="L196" s="118">
        <f>'Output - Jobs vs Yr (BAU)'!L69</f>
        <v>1500.6409904226657</v>
      </c>
      <c r="M196" s="118">
        <f>'Output - Jobs vs Yr (BAU)'!M69</f>
        <v>1555.408028242312</v>
      </c>
      <c r="N196" s="177">
        <f>'Output - Jobs vs Yr (BAU)'!N69</f>
        <v>1568.6274580658696</v>
      </c>
      <c r="O196" s="118">
        <f>'Output - Jobs vs Yr (BAU)'!O69</f>
        <v>1582.2274060599773</v>
      </c>
      <c r="P196" s="118">
        <f>'Output - Jobs vs Yr (BAU)'!P69</f>
        <v>1585.6725437495174</v>
      </c>
      <c r="Q196" s="118">
        <f>'Output - Jobs vs Yr (BAU)'!Q69</f>
        <v>1598.7796250097538</v>
      </c>
      <c r="R196" s="118">
        <f>'Output - Jobs vs Yr (BAU)'!R69</f>
        <v>1620.5204698735904</v>
      </c>
      <c r="S196" s="118">
        <f>'Output - Jobs vs Yr (BAU)'!S69</f>
        <v>1613.813963851768</v>
      </c>
      <c r="T196" s="118">
        <f>'Output - Jobs vs Yr (BAU)'!T69</f>
        <v>1648.0067906488812</v>
      </c>
      <c r="U196" s="118">
        <f>'Output - Jobs vs Yr (BAU)'!U69</f>
        <v>1659.5470297275297</v>
      </c>
      <c r="V196" s="118">
        <f>'Output - Jobs vs Yr (BAU)'!V69</f>
        <v>1665.1973097470704</v>
      </c>
      <c r="W196" s="118">
        <f>'Output - Jobs vs Yr (BAU)'!W69</f>
        <v>1666.2524436288641</v>
      </c>
      <c r="X196" s="184">
        <f>'Output - Jobs vs Yr (BAU)'!X69</f>
        <v>1675.0571637476564</v>
      </c>
      <c r="Y196" s="271">
        <f>'Output - Jobs vs Yr (BAU)'!Y69</f>
        <v>1692.607069620195</v>
      </c>
      <c r="Z196" s="271">
        <f>'Output - Jobs vs Yr (BAU)'!Z69</f>
        <v>1717.6032779871798</v>
      </c>
      <c r="AA196" s="271">
        <f>'Output - Jobs vs Yr (BAU)'!AA69</f>
        <v>1736.3233282599367</v>
      </c>
      <c r="AB196" s="271">
        <f>'Output - Jobs vs Yr (BAU)'!AB69</f>
        <v>1756.3078975419876</v>
      </c>
      <c r="AC196" s="271">
        <f>'Output - Jobs vs Yr (BAU)'!AC69</f>
        <v>1767.8261240720435</v>
      </c>
      <c r="AD196" s="271">
        <f>'Output - Jobs vs Yr (BAU)'!AD69</f>
        <v>1879.83709330582</v>
      </c>
      <c r="AE196" s="271">
        <f>'Output - Jobs vs Yr (BAU)'!AE69</f>
        <v>2005.1639161395769</v>
      </c>
      <c r="AF196" s="271">
        <f>'Output - Jobs vs Yr (BAU)'!AF69</f>
        <v>2047.8636338228214</v>
      </c>
      <c r="AG196" s="271">
        <f>'Output - Jobs vs Yr (BAU)'!AG69</f>
        <v>2075.2220515890144</v>
      </c>
      <c r="AH196" s="184">
        <f>'Output - Jobs vs Yr (BAU)'!AH69</f>
        <v>2112.4045727999737</v>
      </c>
    </row>
    <row r="197" spans="1:34">
      <c r="A197" t="s">
        <v>391</v>
      </c>
      <c r="C197" s="331">
        <f>SUM(C198:C199)</f>
        <v>22550.546150000002</v>
      </c>
      <c r="D197" s="331">
        <f t="shared" ref="D197:AH197" si="113">SUM(D198:D199)</f>
        <v>21920.183150000001</v>
      </c>
      <c r="E197" s="331">
        <f t="shared" si="113"/>
        <v>26706.72409725</v>
      </c>
      <c r="F197" s="331">
        <f t="shared" si="113"/>
        <v>26384.94061025</v>
      </c>
      <c r="G197" s="331">
        <f t="shared" si="113"/>
        <v>21733.65055975</v>
      </c>
      <c r="H197" s="402">
        <f t="shared" si="113"/>
        <v>22170.31976025</v>
      </c>
      <c r="I197" s="14">
        <f t="shared" si="113"/>
        <v>22564.693103499998</v>
      </c>
      <c r="J197" s="14">
        <f t="shared" si="113"/>
        <v>22943.6185965</v>
      </c>
      <c r="K197" s="14">
        <f t="shared" si="113"/>
        <v>23196.98913975</v>
      </c>
      <c r="L197" s="14">
        <f t="shared" si="113"/>
        <v>23106.867921749999</v>
      </c>
      <c r="M197" s="14">
        <f t="shared" si="113"/>
        <v>23106.874818750002</v>
      </c>
      <c r="N197" s="187">
        <f t="shared" si="113"/>
        <v>23106.867921749999</v>
      </c>
      <c r="O197" s="14">
        <f t="shared" si="113"/>
        <v>23215.106931750001</v>
      </c>
      <c r="P197" s="14">
        <f t="shared" si="113"/>
        <v>23215.100034750001</v>
      </c>
      <c r="Q197" s="14">
        <f t="shared" si="113"/>
        <v>23215.097683500004</v>
      </c>
      <c r="R197" s="14">
        <f t="shared" si="113"/>
        <v>23215.097683500004</v>
      </c>
      <c r="S197" s="15">
        <f t="shared" si="113"/>
        <v>23215.097683500004</v>
      </c>
      <c r="T197" s="14">
        <f t="shared" si="113"/>
        <v>23215.095175500006</v>
      </c>
      <c r="U197" s="14">
        <f t="shared" si="113"/>
        <v>23215.095175500006</v>
      </c>
      <c r="V197" s="14">
        <f t="shared" si="113"/>
        <v>23215.095175500006</v>
      </c>
      <c r="W197" s="14">
        <f t="shared" si="113"/>
        <v>23342.169892500002</v>
      </c>
      <c r="X197" s="187">
        <f t="shared" si="113"/>
        <v>23342.169892500002</v>
      </c>
      <c r="Y197" s="158">
        <f t="shared" si="113"/>
        <v>23369.740336499999</v>
      </c>
      <c r="Z197" s="158">
        <f t="shared" si="113"/>
        <v>23369.740493249999</v>
      </c>
      <c r="AA197" s="158">
        <f t="shared" si="113"/>
        <v>23369.740493249999</v>
      </c>
      <c r="AB197" s="158">
        <f t="shared" si="113"/>
        <v>23369.740493249999</v>
      </c>
      <c r="AC197" s="158">
        <f t="shared" si="113"/>
        <v>23410.308020249999</v>
      </c>
      <c r="AD197" s="158">
        <f t="shared" si="113"/>
        <v>23410.315073999998</v>
      </c>
      <c r="AE197" s="158">
        <f t="shared" si="113"/>
        <v>23410.310214750003</v>
      </c>
      <c r="AF197" s="158">
        <f t="shared" si="113"/>
        <v>23410.30300425</v>
      </c>
      <c r="AG197" s="158">
        <f t="shared" si="113"/>
        <v>23508.290721000005</v>
      </c>
      <c r="AH197" s="187">
        <f t="shared" si="113"/>
        <v>23508.2885265</v>
      </c>
    </row>
    <row r="198" spans="1:34">
      <c r="A198" t="s">
        <v>393</v>
      </c>
      <c r="C198" s="330">
        <f>SUM('Output - Jobs vs Yr (BAU)'!C40:C43)</f>
        <v>11868.708500000001</v>
      </c>
      <c r="D198" s="330">
        <f>SUM('Output - Jobs vs Yr (BAU)'!D40:D43)</f>
        <v>11536.9385</v>
      </c>
      <c r="E198" s="330">
        <f>SUM('Output - Jobs vs Yr (BAU)'!E40:E43)</f>
        <v>14056.170577500001</v>
      </c>
      <c r="F198" s="330">
        <f>SUM('Output - Jobs vs Yr (BAU)'!F40:F43)</f>
        <v>13886.810847500001</v>
      </c>
      <c r="G198" s="330">
        <f>SUM('Output - Jobs vs Yr (BAU)'!G40:G43)</f>
        <v>11438.763452499999</v>
      </c>
      <c r="H198" s="286">
        <f>SUM('Output - Jobs vs Yr (BAU)'!H40:H43)</f>
        <v>11668.589347500001</v>
      </c>
      <c r="I198" s="118">
        <f>SUM('Output - Jobs vs Yr (BAU)'!I40:I43)</f>
        <v>11876.154264999999</v>
      </c>
      <c r="J198" s="118">
        <f>SUM('Output - Jobs vs Yr (BAU)'!J40:J43)</f>
        <v>12075.588734999999</v>
      </c>
      <c r="K198" s="118">
        <f>SUM('Output - Jobs vs Yr (BAU)'!K40:K43)</f>
        <v>12208.9416525</v>
      </c>
      <c r="L198" s="118">
        <f>SUM('Output - Jobs vs Yr (BAU)'!L40:L43)</f>
        <v>12161.509432499999</v>
      </c>
      <c r="M198" s="118">
        <f>SUM('Output - Jobs vs Yr (BAU)'!M40:M43)</f>
        <v>12161.5130625</v>
      </c>
      <c r="N198" s="177">
        <f>SUM('Output - Jobs vs Yr (BAU)'!N40:N43)</f>
        <v>12161.509432499999</v>
      </c>
      <c r="O198" s="118">
        <f>SUM('Output - Jobs vs Yr (BAU)'!O40:O43)</f>
        <v>12218.477332500001</v>
      </c>
      <c r="P198" s="118">
        <f>SUM('Output - Jobs vs Yr (BAU)'!P40:P43)</f>
        <v>12218.473702500001</v>
      </c>
      <c r="Q198" s="118">
        <f>SUM('Output - Jobs vs Yr (BAU)'!Q40:Q43)</f>
        <v>12218.472465000001</v>
      </c>
      <c r="R198" s="118">
        <f>SUM('Output - Jobs vs Yr (BAU)'!R40:R43)</f>
        <v>12218.472465000001</v>
      </c>
      <c r="S198" s="118">
        <f>SUM('Output - Jobs vs Yr (BAU)'!S40:S43)</f>
        <v>12218.472465000001</v>
      </c>
      <c r="T198" s="118">
        <f>SUM('Output - Jobs vs Yr (BAU)'!T40:T43)</f>
        <v>12218.471145000001</v>
      </c>
      <c r="U198" s="118">
        <f>SUM('Output - Jobs vs Yr (BAU)'!U40:U43)</f>
        <v>12218.471145000001</v>
      </c>
      <c r="V198" s="118">
        <f>SUM('Output - Jobs vs Yr (BAU)'!V40:V43)</f>
        <v>12218.471145000001</v>
      </c>
      <c r="W198" s="118">
        <f>SUM('Output - Jobs vs Yr (BAU)'!W40:W43)</f>
        <v>12285.352575000001</v>
      </c>
      <c r="X198" s="184">
        <f>SUM('Output - Jobs vs Yr (BAU)'!X40:X43)</f>
        <v>12285.352575000001</v>
      </c>
      <c r="Y198" s="271">
        <f>SUM('Output - Jobs vs Yr (BAU)'!Y40:Y43)</f>
        <v>12299.863335</v>
      </c>
      <c r="Z198" s="271">
        <f>SUM('Output - Jobs vs Yr (BAU)'!Z40:Z43)</f>
        <v>12299.863417499999</v>
      </c>
      <c r="AA198" s="271">
        <f>SUM('Output - Jobs vs Yr (BAU)'!AA40:AA43)</f>
        <v>12299.863417499999</v>
      </c>
      <c r="AB198" s="271">
        <f>SUM('Output - Jobs vs Yr (BAU)'!AB40:AB43)</f>
        <v>12299.863417499999</v>
      </c>
      <c r="AC198" s="271">
        <f>SUM('Output - Jobs vs Yr (BAU)'!AC40:AC43)</f>
        <v>12321.214747499998</v>
      </c>
      <c r="AD198" s="271">
        <f>SUM('Output - Jobs vs Yr (BAU)'!AD40:AD43)</f>
        <v>12321.218459999998</v>
      </c>
      <c r="AE198" s="271">
        <f>SUM('Output - Jobs vs Yr (BAU)'!AE40:AE43)</f>
        <v>12321.215902500002</v>
      </c>
      <c r="AF198" s="271">
        <f>SUM('Output - Jobs vs Yr (BAU)'!AF40:AF43)</f>
        <v>12321.2121075</v>
      </c>
      <c r="AG198" s="271">
        <f>SUM('Output - Jobs vs Yr (BAU)'!AG40:AG43)</f>
        <v>12372.784590000001</v>
      </c>
      <c r="AH198" s="184">
        <f>SUM('Output - Jobs vs Yr (BAU)'!AH40:AH43)</f>
        <v>12372.783435000001</v>
      </c>
    </row>
    <row r="199" spans="1:34">
      <c r="A199" t="s">
        <v>392</v>
      </c>
      <c r="C199" s="330">
        <f>SUM('Output - Jobs vs Yr (BAU)'!C58:C61)</f>
        <v>10681.837650000001</v>
      </c>
      <c r="D199" s="330">
        <f>SUM('Output - Jobs vs Yr (BAU)'!D58:D61)</f>
        <v>10383.244650000001</v>
      </c>
      <c r="E199" s="330">
        <f>SUM('Output - Jobs vs Yr (BAU)'!E58:E61)</f>
        <v>12650.553519750001</v>
      </c>
      <c r="F199" s="330">
        <f>SUM('Output - Jobs vs Yr (BAU)'!F58:F61)</f>
        <v>12498.129762750001</v>
      </c>
      <c r="G199" s="330">
        <f>SUM('Output - Jobs vs Yr (BAU)'!G58:G61)</f>
        <v>10294.887107250001</v>
      </c>
      <c r="H199" s="286">
        <f>SUM('Output - Jobs vs Yr (BAU)'!H58:H61)</f>
        <v>10501.730412749999</v>
      </c>
      <c r="I199" s="118">
        <f>SUM('Output - Jobs vs Yr (BAU)'!I58:I61)</f>
        <v>10688.538838499999</v>
      </c>
      <c r="J199" s="118">
        <f>SUM('Output - Jobs vs Yr (BAU)'!J58:J61)</f>
        <v>10868.029861500001</v>
      </c>
      <c r="K199" s="118">
        <f>SUM('Output - Jobs vs Yr (BAU)'!K58:K61)</f>
        <v>10988.04748725</v>
      </c>
      <c r="L199" s="118">
        <f>SUM('Output - Jobs vs Yr (BAU)'!L58:L61)</f>
        <v>10945.35848925</v>
      </c>
      <c r="M199" s="118">
        <f>SUM('Output - Jobs vs Yr (BAU)'!M58:M61)</f>
        <v>10945.36175625</v>
      </c>
      <c r="N199" s="177">
        <f>SUM('Output - Jobs vs Yr (BAU)'!N58:N61)</f>
        <v>10945.35848925</v>
      </c>
      <c r="O199" s="118">
        <f>SUM('Output - Jobs vs Yr (BAU)'!O58:O61)</f>
        <v>10996.629599250002</v>
      </c>
      <c r="P199" s="118">
        <f>SUM('Output - Jobs vs Yr (BAU)'!P58:P61)</f>
        <v>10996.626332250002</v>
      </c>
      <c r="Q199" s="118">
        <f>SUM('Output - Jobs vs Yr (BAU)'!Q58:Q61)</f>
        <v>10996.625218500001</v>
      </c>
      <c r="R199" s="118">
        <f>SUM('Output - Jobs vs Yr (BAU)'!R58:R61)</f>
        <v>10996.625218500001</v>
      </c>
      <c r="S199" s="118">
        <f>SUM('Output - Jobs vs Yr (BAU)'!S58:S61)</f>
        <v>10996.625218500001</v>
      </c>
      <c r="T199" s="118">
        <f>SUM('Output - Jobs vs Yr (BAU)'!T58:T61)</f>
        <v>10996.624030500003</v>
      </c>
      <c r="U199" s="118">
        <f>SUM('Output - Jobs vs Yr (BAU)'!U58:U61)</f>
        <v>10996.624030500003</v>
      </c>
      <c r="V199" s="118">
        <f>SUM('Output - Jobs vs Yr (BAU)'!V58:V61)</f>
        <v>10996.624030500003</v>
      </c>
      <c r="W199" s="118">
        <f>SUM('Output - Jobs vs Yr (BAU)'!W58:W61)</f>
        <v>11056.817317500001</v>
      </c>
      <c r="X199" s="184">
        <f>SUM('Output - Jobs vs Yr (BAU)'!X58:X61)</f>
        <v>11056.817317500001</v>
      </c>
      <c r="Y199" s="271">
        <f>SUM('Output - Jobs vs Yr (BAU)'!Y58:Y61)</f>
        <v>11069.877001500001</v>
      </c>
      <c r="Z199" s="271">
        <f>SUM('Output - Jobs vs Yr (BAU)'!Z58:Z61)</f>
        <v>11069.877075750001</v>
      </c>
      <c r="AA199" s="271">
        <f>SUM('Output - Jobs vs Yr (BAU)'!AA58:AA61)</f>
        <v>11069.877075750001</v>
      </c>
      <c r="AB199" s="271">
        <f>SUM('Output - Jobs vs Yr (BAU)'!AB58:AB61)</f>
        <v>11069.877075750001</v>
      </c>
      <c r="AC199" s="271">
        <f>SUM('Output - Jobs vs Yr (BAU)'!AC58:AC61)</f>
        <v>11089.093272749999</v>
      </c>
      <c r="AD199" s="271">
        <f>SUM('Output - Jobs vs Yr (BAU)'!AD58:AD61)</f>
        <v>11089.096614</v>
      </c>
      <c r="AE199" s="271">
        <f>SUM('Output - Jobs vs Yr (BAU)'!AE58:AE61)</f>
        <v>11089.094312250003</v>
      </c>
      <c r="AF199" s="271">
        <f>SUM('Output - Jobs vs Yr (BAU)'!AF58:AF61)</f>
        <v>11089.09089675</v>
      </c>
      <c r="AG199" s="271">
        <f>SUM('Output - Jobs vs Yr (BAU)'!AG58:AG61)</f>
        <v>11135.506131000002</v>
      </c>
      <c r="AH199" s="184">
        <f>SUM('Output - Jobs vs Yr (BAU)'!AH58:AH61)</f>
        <v>11135.505091500001</v>
      </c>
    </row>
    <row r="200" spans="1:34">
      <c r="A200" t="s">
        <v>394</v>
      </c>
      <c r="C200" s="331">
        <f>SUM(C201:C202)</f>
        <v>4064.8409999999999</v>
      </c>
      <c r="D200" s="331">
        <f t="shared" ref="D200:AH200" si="114">SUM(D201:D202)</f>
        <v>3947.174</v>
      </c>
      <c r="E200" s="331">
        <f t="shared" si="114"/>
        <v>3198.3698123014401</v>
      </c>
      <c r="F200" s="331">
        <f t="shared" si="114"/>
        <v>3571.5776702460744</v>
      </c>
      <c r="G200" s="331">
        <f t="shared" si="114"/>
        <v>4004.4204316911323</v>
      </c>
      <c r="H200" s="402">
        <f t="shared" si="114"/>
        <v>3996.3731578815723</v>
      </c>
      <c r="I200" s="14">
        <f t="shared" si="114"/>
        <v>3144.0683147697951</v>
      </c>
      <c r="J200" s="14">
        <f t="shared" si="114"/>
        <v>3278.3250781621814</v>
      </c>
      <c r="K200" s="14">
        <f t="shared" si="114"/>
        <v>3307.5476288189752</v>
      </c>
      <c r="L200" s="14">
        <f t="shared" si="114"/>
        <v>3512.6719093127431</v>
      </c>
      <c r="M200" s="14">
        <f t="shared" si="114"/>
        <v>3592.3325278778721</v>
      </c>
      <c r="N200" s="187">
        <f t="shared" si="114"/>
        <v>3686.5743935031542</v>
      </c>
      <c r="O200" s="14">
        <f t="shared" si="114"/>
        <v>3981.9260753147742</v>
      </c>
      <c r="P200" s="14">
        <f t="shared" si="114"/>
        <v>4278.3598194350343</v>
      </c>
      <c r="Q200" s="14">
        <f t="shared" si="114"/>
        <v>4487.1534981210007</v>
      </c>
      <c r="R200" s="14">
        <f t="shared" si="114"/>
        <v>4569.1276114944358</v>
      </c>
      <c r="S200" s="15">
        <f t="shared" si="114"/>
        <v>4734.0602879389071</v>
      </c>
      <c r="T200" s="14">
        <f t="shared" si="114"/>
        <v>4954.9797225703805</v>
      </c>
      <c r="U200" s="14">
        <f t="shared" si="114"/>
        <v>5084.2232749843952</v>
      </c>
      <c r="V200" s="14">
        <f t="shared" si="114"/>
        <v>5174.2450703690192</v>
      </c>
      <c r="W200" s="14">
        <f t="shared" si="114"/>
        <v>5372.8642561574252</v>
      </c>
      <c r="X200" s="187">
        <f t="shared" si="114"/>
        <v>5548.5182439198416</v>
      </c>
      <c r="Y200" s="158">
        <f t="shared" si="114"/>
        <v>5544.3578278762525</v>
      </c>
      <c r="Z200" s="158">
        <f t="shared" si="114"/>
        <v>5709.1934160770033</v>
      </c>
      <c r="AA200" s="158">
        <f t="shared" si="114"/>
        <v>5787.0983306729013</v>
      </c>
      <c r="AB200" s="158">
        <f t="shared" si="114"/>
        <v>5826.1281771153826</v>
      </c>
      <c r="AC200" s="158">
        <f t="shared" si="114"/>
        <v>5878.0214203017067</v>
      </c>
      <c r="AD200" s="158">
        <f t="shared" si="114"/>
        <v>5848.2069673912483</v>
      </c>
      <c r="AE200" s="158">
        <f t="shared" si="114"/>
        <v>5860.0032186300505</v>
      </c>
      <c r="AF200" s="158">
        <f t="shared" si="114"/>
        <v>5930.9655464539237</v>
      </c>
      <c r="AG200" s="158">
        <f t="shared" si="114"/>
        <v>6100.8620640573454</v>
      </c>
      <c r="AH200" s="187">
        <f t="shared" si="114"/>
        <v>6251.5415536323071</v>
      </c>
    </row>
    <row r="201" spans="1:34">
      <c r="A201" t="s">
        <v>395</v>
      </c>
      <c r="C201" s="330">
        <f>SUM('Output - Jobs vs Yr (BAU)'!C53:C54)</f>
        <v>2139.39</v>
      </c>
      <c r="D201" s="330">
        <f>SUM('Output - Jobs vs Yr (BAU)'!D53:D54)</f>
        <v>2077.46</v>
      </c>
      <c r="E201" s="330">
        <f>SUM('Output - Jobs vs Yr (BAU)'!E53:E54)</f>
        <v>1683.3525327902316</v>
      </c>
      <c r="F201" s="330">
        <f>SUM('Output - Jobs vs Yr (BAU)'!F53:F54)</f>
        <v>1879.7777211821444</v>
      </c>
      <c r="G201" s="330">
        <f>SUM('Output - Jobs vs Yr (BAU)'!G53:G54)</f>
        <v>2107.5897008900697</v>
      </c>
      <c r="H201" s="286">
        <f>SUM('Output - Jobs vs Yr (BAU)'!H53:H54)</f>
        <v>2103.3542936218801</v>
      </c>
      <c r="I201" s="118">
        <f>SUM('Output - Jobs vs Yr (BAU)'!I53:I54)</f>
        <v>1654.7727972472605</v>
      </c>
      <c r="J201" s="118">
        <f>SUM('Output - Jobs vs Yr (BAU)'!J53:J54)</f>
        <v>1725.434251664306</v>
      </c>
      <c r="K201" s="118">
        <f>SUM('Output - Jobs vs Yr (BAU)'!K53:K54)</f>
        <v>1740.8145414836713</v>
      </c>
      <c r="L201" s="118">
        <f>SUM('Output - Jobs vs Yr (BAU)'!L53:L54)</f>
        <v>1848.77468911197</v>
      </c>
      <c r="M201" s="118">
        <f>SUM('Output - Jobs vs Yr (BAU)'!M53:M54)</f>
        <v>1890.701330462038</v>
      </c>
      <c r="N201" s="177">
        <f>SUM('Output - Jobs vs Yr (BAU)'!N53:N54)</f>
        <v>1940.3023123700809</v>
      </c>
      <c r="O201" s="118">
        <f>SUM('Output - Jobs vs Yr (BAU)'!O53:O54)</f>
        <v>2095.7505659551443</v>
      </c>
      <c r="P201" s="118">
        <f>SUM('Output - Jobs vs Yr (BAU)'!P53:P54)</f>
        <v>2251.768326018439</v>
      </c>
      <c r="Q201" s="118">
        <f>SUM('Output - Jobs vs Yr (BAU)'!Q53:Q54)</f>
        <v>2361.6597358531581</v>
      </c>
      <c r="R201" s="118">
        <f>SUM('Output - Jobs vs Yr (BAU)'!R53:R54)</f>
        <v>2404.8040060497033</v>
      </c>
      <c r="S201" s="118">
        <f>SUM('Output - Jobs vs Yr (BAU)'!S53:S54)</f>
        <v>2491.6106778625826</v>
      </c>
      <c r="T201" s="118">
        <f>SUM('Output - Jobs vs Yr (BAU)'!T53:T54)</f>
        <v>2607.8840645107266</v>
      </c>
      <c r="U201" s="118">
        <f>SUM('Output - Jobs vs Yr (BAU)'!U53:U54)</f>
        <v>2675.906986833892</v>
      </c>
      <c r="V201" s="118">
        <f>SUM('Output - Jobs vs Yr (BAU)'!V53:V54)</f>
        <v>2723.286879141589</v>
      </c>
      <c r="W201" s="118">
        <f>SUM('Output - Jobs vs Yr (BAU)'!W53:W54)</f>
        <v>2827.8232927144345</v>
      </c>
      <c r="X201" s="184">
        <f>SUM('Output - Jobs vs Yr (BAU)'!X53:X54)</f>
        <v>2920.2727599578111</v>
      </c>
      <c r="Y201" s="271">
        <f>SUM('Output - Jobs vs Yr (BAU)'!Y53:Y54)</f>
        <v>2918.0830673032906</v>
      </c>
      <c r="Z201" s="271">
        <f>SUM('Output - Jobs vs Yr (BAU)'!Z53:Z54)</f>
        <v>3004.8386400405279</v>
      </c>
      <c r="AA201" s="271">
        <f>SUM('Output - Jobs vs Yr (BAU)'!AA53:AA54)</f>
        <v>3045.8412266699479</v>
      </c>
      <c r="AB201" s="271">
        <f>SUM('Output - Jobs vs Yr (BAU)'!AB53:AB54)</f>
        <v>3066.3832511133596</v>
      </c>
      <c r="AC201" s="271">
        <f>SUM('Output - Jobs vs Yr (BAU)'!AC53:AC54)</f>
        <v>3093.6954843693193</v>
      </c>
      <c r="AD201" s="271">
        <f>SUM('Output - Jobs vs Yr (BAU)'!AD53:AD54)</f>
        <v>3078.0036670480249</v>
      </c>
      <c r="AE201" s="271">
        <f>SUM('Output - Jobs vs Yr (BAU)'!AE53:AE54)</f>
        <v>3084.2122203316053</v>
      </c>
      <c r="AF201" s="271">
        <f>SUM('Output - Jobs vs Yr (BAU)'!AF53:AF54)</f>
        <v>3121.5608139231176</v>
      </c>
      <c r="AG201" s="271">
        <f>SUM('Output - Jobs vs Yr (BAU)'!AG53:AG54)</f>
        <v>3210.9800337143924</v>
      </c>
      <c r="AH201" s="184">
        <f>SUM('Output - Jobs vs Yr (BAU)'!AH53:AH54)</f>
        <v>3290.2850282275303</v>
      </c>
    </row>
    <row r="202" spans="1:34">
      <c r="A202" t="s">
        <v>396</v>
      </c>
      <c r="C202" s="330">
        <f>SUM('Output - Jobs vs Yr (BAU)'!C71:C72)</f>
        <v>1925.451</v>
      </c>
      <c r="D202" s="330">
        <f>SUM('Output - Jobs vs Yr (BAU)'!D71:D72)</f>
        <v>1869.7139999999999</v>
      </c>
      <c r="E202" s="330">
        <f>SUM('Output - Jobs vs Yr (BAU)'!E71:E72)</f>
        <v>1515.0172795112085</v>
      </c>
      <c r="F202" s="330">
        <f>SUM('Output - Jobs vs Yr (BAU)'!F71:F72)</f>
        <v>1691.7999490639299</v>
      </c>
      <c r="G202" s="330">
        <f>SUM('Output - Jobs vs Yr (BAU)'!G71:G72)</f>
        <v>1896.8307308010626</v>
      </c>
      <c r="H202" s="286">
        <f>SUM('Output - Jobs vs Yr (BAU)'!H71:H72)</f>
        <v>1893.0188642596922</v>
      </c>
      <c r="I202" s="118">
        <f>SUM('Output - Jobs vs Yr (BAU)'!I71:I72)</f>
        <v>1489.2955175225345</v>
      </c>
      <c r="J202" s="118">
        <f>SUM('Output - Jobs vs Yr (BAU)'!J71:J72)</f>
        <v>1552.8908264978754</v>
      </c>
      <c r="K202" s="118">
        <f>SUM('Output - Jobs vs Yr (BAU)'!K71:K72)</f>
        <v>1566.7330873353039</v>
      </c>
      <c r="L202" s="118">
        <f>SUM('Output - Jobs vs Yr (BAU)'!L71:L72)</f>
        <v>1663.8972202007731</v>
      </c>
      <c r="M202" s="118">
        <f>SUM('Output - Jobs vs Yr (BAU)'!M71:M72)</f>
        <v>1701.6311974158343</v>
      </c>
      <c r="N202" s="177">
        <f>SUM('Output - Jobs vs Yr (BAU)'!N71:N72)</f>
        <v>1746.272081133073</v>
      </c>
      <c r="O202" s="118">
        <f>SUM('Output - Jobs vs Yr (BAU)'!O71:O72)</f>
        <v>1886.1755093596298</v>
      </c>
      <c r="P202" s="118">
        <f>SUM('Output - Jobs vs Yr (BAU)'!P71:P72)</f>
        <v>2026.5914934165953</v>
      </c>
      <c r="Q202" s="118">
        <f>SUM('Output - Jobs vs Yr (BAU)'!Q71:Q72)</f>
        <v>2125.4937622678422</v>
      </c>
      <c r="R202" s="118">
        <f>SUM('Output - Jobs vs Yr (BAU)'!R71:R72)</f>
        <v>2164.3236054447329</v>
      </c>
      <c r="S202" s="118">
        <f>SUM('Output - Jobs vs Yr (BAU)'!S71:S72)</f>
        <v>2242.4496100763245</v>
      </c>
      <c r="T202" s="118">
        <f>SUM('Output - Jobs vs Yr (BAU)'!T71:T72)</f>
        <v>2347.0956580596539</v>
      </c>
      <c r="U202" s="118">
        <f>SUM('Output - Jobs vs Yr (BAU)'!U71:U72)</f>
        <v>2408.3162881505027</v>
      </c>
      <c r="V202" s="118">
        <f>SUM('Output - Jobs vs Yr (BAU)'!V71:V72)</f>
        <v>2450.9581912274302</v>
      </c>
      <c r="W202" s="118">
        <f>SUM('Output - Jobs vs Yr (BAU)'!W71:W72)</f>
        <v>2545.0409634429907</v>
      </c>
      <c r="X202" s="184">
        <f>SUM('Output - Jobs vs Yr (BAU)'!X71:X72)</f>
        <v>2628.2454839620304</v>
      </c>
      <c r="Y202" s="271">
        <f>SUM('Output - Jobs vs Yr (BAU)'!Y71:Y72)</f>
        <v>2626.2747605729614</v>
      </c>
      <c r="Z202" s="271">
        <f>SUM('Output - Jobs vs Yr (BAU)'!Z71:Z72)</f>
        <v>2704.3547760364754</v>
      </c>
      <c r="AA202" s="271">
        <f>SUM('Output - Jobs vs Yr (BAU)'!AA71:AA72)</f>
        <v>2741.2571040029534</v>
      </c>
      <c r="AB202" s="271">
        <f>SUM('Output - Jobs vs Yr (BAU)'!AB71:AB72)</f>
        <v>2759.7449260020235</v>
      </c>
      <c r="AC202" s="271">
        <f>SUM('Output - Jobs vs Yr (BAU)'!AC71:AC72)</f>
        <v>2784.3259359323874</v>
      </c>
      <c r="AD202" s="271">
        <f>SUM('Output - Jobs vs Yr (BAU)'!AD71:AD72)</f>
        <v>2770.203300343223</v>
      </c>
      <c r="AE202" s="271">
        <f>SUM('Output - Jobs vs Yr (BAU)'!AE71:AE72)</f>
        <v>2775.7909982984447</v>
      </c>
      <c r="AF202" s="271">
        <f>SUM('Output - Jobs vs Yr (BAU)'!AF71:AF72)</f>
        <v>2809.4047325308061</v>
      </c>
      <c r="AG202" s="271">
        <f>SUM('Output - Jobs vs Yr (BAU)'!AG71:AG72)</f>
        <v>2889.8820303429529</v>
      </c>
      <c r="AH202" s="184">
        <f>SUM('Output - Jobs vs Yr (BAU)'!AH71:AH72)</f>
        <v>2961.2565254047772</v>
      </c>
    </row>
    <row r="203" spans="1:34">
      <c r="A203" s="1" t="s">
        <v>425</v>
      </c>
      <c r="C203" s="331">
        <f>SUM(C191,C194,C197,C200)</f>
        <v>28334.303280000004</v>
      </c>
      <c r="D203" s="331">
        <f t="shared" ref="D203:AH203" si="115">SUM(D191,D194,D197,D200)</f>
        <v>28121.44628</v>
      </c>
      <c r="E203" s="331">
        <f t="shared" si="115"/>
        <v>32060.064704047025</v>
      </c>
      <c r="F203" s="331">
        <f t="shared" si="115"/>
        <v>32330.135239615411</v>
      </c>
      <c r="G203" s="331">
        <f t="shared" si="115"/>
        <v>28436.525878531258</v>
      </c>
      <c r="H203" s="402">
        <f t="shared" si="115"/>
        <v>28891.594611425677</v>
      </c>
      <c r="I203" s="14">
        <f t="shared" si="115"/>
        <v>28588.638682681343</v>
      </c>
      <c r="J203" s="14">
        <f t="shared" si="115"/>
        <v>29215.177184825989</v>
      </c>
      <c r="K203" s="14">
        <f t="shared" si="115"/>
        <v>29563.539840584966</v>
      </c>
      <c r="L203" s="14">
        <f t="shared" si="115"/>
        <v>29787.559699732814</v>
      </c>
      <c r="M203" s="132">
        <f t="shared" si="115"/>
        <v>29982.846517361642</v>
      </c>
      <c r="N203" s="193">
        <f t="shared" si="115"/>
        <v>30104.989171169989</v>
      </c>
      <c r="O203" s="14">
        <f t="shared" si="115"/>
        <v>30537.290864302508</v>
      </c>
      <c r="P203" s="14">
        <f t="shared" si="115"/>
        <v>30840.990779878462</v>
      </c>
      <c r="Q203" s="14">
        <f t="shared" si="115"/>
        <v>31077.45261219715</v>
      </c>
      <c r="R203" s="14">
        <f t="shared" si="115"/>
        <v>31205.324064727574</v>
      </c>
      <c r="S203" s="14">
        <f t="shared" si="115"/>
        <v>31356.098561792645</v>
      </c>
      <c r="T203" s="14">
        <f t="shared" si="115"/>
        <v>31649.200344995803</v>
      </c>
      <c r="U203" s="14">
        <f t="shared" si="115"/>
        <v>31802.80662435363</v>
      </c>
      <c r="V203" s="14">
        <f t="shared" si="115"/>
        <v>31904.756788668397</v>
      </c>
      <c r="W203" s="14">
        <f t="shared" si="115"/>
        <v>32232.67819631836</v>
      </c>
      <c r="X203" s="187">
        <f t="shared" si="115"/>
        <v>32426.919926553783</v>
      </c>
      <c r="Y203" s="158">
        <f t="shared" si="115"/>
        <v>32487.379755796661</v>
      </c>
      <c r="Z203" s="158">
        <f t="shared" si="115"/>
        <v>32704.985273966606</v>
      </c>
      <c r="AA203" s="158">
        <f t="shared" si="115"/>
        <v>32822.41029469388</v>
      </c>
      <c r="AB203" s="158">
        <f t="shared" si="115"/>
        <v>32903.629787398466</v>
      </c>
      <c r="AC203" s="158">
        <f t="shared" si="115"/>
        <v>33020.406813592686</v>
      </c>
      <c r="AD203" s="158">
        <f t="shared" si="115"/>
        <v>33227.067016147979</v>
      </c>
      <c r="AE203" s="158">
        <f t="shared" si="115"/>
        <v>33503.437256341385</v>
      </c>
      <c r="AF203" s="158">
        <f t="shared" si="115"/>
        <v>33664.536222107658</v>
      </c>
      <c r="AG203" s="158">
        <f t="shared" si="115"/>
        <v>33990.177116189712</v>
      </c>
      <c r="AH203" s="187">
        <f t="shared" si="115"/>
        <v>34219.350844932254</v>
      </c>
    </row>
    <row r="204" spans="1:34">
      <c r="A204" s="1" t="s">
        <v>448</v>
      </c>
      <c r="C204" s="331"/>
      <c r="D204" s="331">
        <f>D194+D197</f>
        <v>24174.272280000001</v>
      </c>
      <c r="E204" s="331">
        <f t="shared" ref="E204:AH204" si="116">E194+E197</f>
        <v>28861.694891745585</v>
      </c>
      <c r="F204" s="331">
        <f t="shared" si="116"/>
        <v>28758.557569369335</v>
      </c>
      <c r="G204" s="331">
        <f t="shared" si="116"/>
        <v>24432.105446840127</v>
      </c>
      <c r="H204" s="402">
        <f t="shared" si="116"/>
        <v>24895.221453544105</v>
      </c>
      <c r="I204" s="14">
        <f t="shared" si="116"/>
        <v>25444.570367911547</v>
      </c>
      <c r="J204" s="14">
        <f t="shared" si="116"/>
        <v>25936.852106663806</v>
      </c>
      <c r="K204" s="14">
        <f t="shared" si="116"/>
        <v>26255.992211765992</v>
      </c>
      <c r="L204" s="14">
        <f t="shared" si="116"/>
        <v>26274.887790420071</v>
      </c>
      <c r="M204" s="14">
        <f t="shared" si="116"/>
        <v>26390.51398948377</v>
      </c>
      <c r="N204" s="187">
        <f t="shared" si="116"/>
        <v>26418.414777666836</v>
      </c>
      <c r="O204" s="14">
        <f t="shared" si="116"/>
        <v>26555.364788987732</v>
      </c>
      <c r="P204" s="14">
        <f t="shared" si="116"/>
        <v>26562.630960443428</v>
      </c>
      <c r="Q204" s="14">
        <f t="shared" si="116"/>
        <v>26590.299114076151</v>
      </c>
      <c r="R204" s="14">
        <f t="shared" si="116"/>
        <v>26636.19645323314</v>
      </c>
      <c r="S204" s="14">
        <f t="shared" si="116"/>
        <v>26622.038273853737</v>
      </c>
      <c r="T204" s="14">
        <f t="shared" si="116"/>
        <v>26694.220622425422</v>
      </c>
      <c r="U204" s="14">
        <f t="shared" si="116"/>
        <v>26718.583349369233</v>
      </c>
      <c r="V204" s="14">
        <f t="shared" si="116"/>
        <v>26730.511718299378</v>
      </c>
      <c r="W204" s="14">
        <f t="shared" si="116"/>
        <v>26859.813940160937</v>
      </c>
      <c r="X204" s="187">
        <f t="shared" si="116"/>
        <v>26878.401682633943</v>
      </c>
      <c r="Y204" s="158">
        <f t="shared" si="116"/>
        <v>26943.02192792041</v>
      </c>
      <c r="Z204" s="158">
        <f t="shared" si="116"/>
        <v>26995.791857889602</v>
      </c>
      <c r="AA204" s="158">
        <f t="shared" si="116"/>
        <v>27035.311964020977</v>
      </c>
      <c r="AB204" s="158">
        <f t="shared" si="116"/>
        <v>27077.501610283085</v>
      </c>
      <c r="AC204" s="158">
        <f t="shared" si="116"/>
        <v>27142.385393290981</v>
      </c>
      <c r="AD204" s="158">
        <f t="shared" si="116"/>
        <v>27378.860048756731</v>
      </c>
      <c r="AE204" s="158">
        <f t="shared" si="116"/>
        <v>27643.434037711333</v>
      </c>
      <c r="AF204" s="158">
        <f t="shared" si="116"/>
        <v>27733.570675653733</v>
      </c>
      <c r="AG204" s="158">
        <f t="shared" si="116"/>
        <v>27889.31505213237</v>
      </c>
      <c r="AH204" s="187">
        <f t="shared" si="116"/>
        <v>27967.809291299945</v>
      </c>
    </row>
    <row r="205" spans="1:34">
      <c r="A205" s="1"/>
      <c r="C205" s="331"/>
      <c r="D205" s="331"/>
      <c r="E205" s="331"/>
      <c r="F205" s="331"/>
      <c r="G205" s="331"/>
      <c r="H205" s="402"/>
      <c r="I205" s="14"/>
      <c r="J205" s="14"/>
      <c r="K205" s="14"/>
      <c r="L205" s="14"/>
      <c r="M205" s="14"/>
      <c r="N205" s="187"/>
      <c r="O205" s="14"/>
      <c r="P205" s="14"/>
      <c r="Q205" s="14"/>
      <c r="R205" s="14"/>
      <c r="S205" s="14"/>
      <c r="T205" s="14"/>
      <c r="U205" s="14"/>
      <c r="V205" s="14"/>
      <c r="W205" s="14"/>
      <c r="X205" s="187"/>
    </row>
    <row r="206" spans="1:34">
      <c r="A206" s="1" t="s">
        <v>453</v>
      </c>
      <c r="C206" s="331"/>
      <c r="D206" s="331">
        <f>D194</f>
        <v>2254.0891300000003</v>
      </c>
      <c r="E206" s="331">
        <f>D206+E194</f>
        <v>4409.0599244955856</v>
      </c>
      <c r="F206" s="331">
        <f>E206+F194</f>
        <v>6782.6768836149213</v>
      </c>
      <c r="G206" s="331">
        <f>F206+G194</f>
        <v>9481.1317707050493</v>
      </c>
      <c r="H206" s="402">
        <f t="shared" ref="H206:X206" si="117">G206+H194</f>
        <v>12206.033463999154</v>
      </c>
      <c r="I206" s="14">
        <f t="shared" si="117"/>
        <v>15085.910728410703</v>
      </c>
      <c r="J206" s="14">
        <f t="shared" si="117"/>
        <v>18079.14423857451</v>
      </c>
      <c r="K206" s="14">
        <f t="shared" si="117"/>
        <v>21138.147310590502</v>
      </c>
      <c r="L206" s="14">
        <f t="shared" si="117"/>
        <v>24306.167179260574</v>
      </c>
      <c r="M206" s="14">
        <f t="shared" si="117"/>
        <v>27589.806349994346</v>
      </c>
      <c r="N206" s="187">
        <f t="shared" si="117"/>
        <v>30901.353205911182</v>
      </c>
      <c r="O206" s="14">
        <f t="shared" si="117"/>
        <v>34241.611063148914</v>
      </c>
      <c r="P206" s="14">
        <f t="shared" si="117"/>
        <v>37589.141988842341</v>
      </c>
      <c r="Q206" s="14">
        <f t="shared" si="117"/>
        <v>40964.343419418488</v>
      </c>
      <c r="R206" s="14">
        <f t="shared" si="117"/>
        <v>44385.442189151625</v>
      </c>
      <c r="S206" s="14">
        <f t="shared" si="117"/>
        <v>47792.382779505358</v>
      </c>
      <c r="T206" s="14">
        <f t="shared" si="117"/>
        <v>51271.508226430771</v>
      </c>
      <c r="U206" s="14">
        <f t="shared" si="117"/>
        <v>54774.996400299999</v>
      </c>
      <c r="V206" s="14">
        <f t="shared" si="117"/>
        <v>58290.412943099371</v>
      </c>
      <c r="W206" s="14">
        <f t="shared" si="117"/>
        <v>61808.056990760306</v>
      </c>
      <c r="X206" s="187">
        <f t="shared" si="117"/>
        <v>65344.288780894247</v>
      </c>
      <c r="Y206" s="158">
        <f t="shared" ref="Y206:AH206" si="118">X206+Y194</f>
        <v>68917.570372314658</v>
      </c>
      <c r="Z206" s="158">
        <f t="shared" si="118"/>
        <v>72543.621736954257</v>
      </c>
      <c r="AA206" s="158">
        <f t="shared" si="118"/>
        <v>76209.193207725242</v>
      </c>
      <c r="AB206" s="158">
        <f t="shared" si="118"/>
        <v>79916.954324758321</v>
      </c>
      <c r="AC206" s="158">
        <f t="shared" si="118"/>
        <v>83649.031697799306</v>
      </c>
      <c r="AD206" s="158">
        <f t="shared" si="118"/>
        <v>87617.576672556039</v>
      </c>
      <c r="AE206" s="158">
        <f t="shared" si="118"/>
        <v>91850.700495517362</v>
      </c>
      <c r="AF206" s="158">
        <f t="shared" si="118"/>
        <v>96173.968166921099</v>
      </c>
      <c r="AG206" s="158">
        <f t="shared" si="118"/>
        <v>100554.99249805346</v>
      </c>
      <c r="AH206" s="187">
        <f t="shared" si="118"/>
        <v>105014.5132628534</v>
      </c>
    </row>
    <row r="207" spans="1:34">
      <c r="A207" s="1" t="s">
        <v>456</v>
      </c>
      <c r="C207" s="331"/>
      <c r="D207" s="331">
        <f>D200</f>
        <v>3947.174</v>
      </c>
      <c r="E207" s="331">
        <f>D207+E200</f>
        <v>7145.5438123014401</v>
      </c>
      <c r="F207" s="331">
        <f>E207+F200</f>
        <v>10717.121482547514</v>
      </c>
      <c r="G207" s="331">
        <f t="shared" ref="G207:X207" si="119">F207+G200</f>
        <v>14721.541914238647</v>
      </c>
      <c r="H207" s="402">
        <f t="shared" si="119"/>
        <v>18717.91507212022</v>
      </c>
      <c r="I207" s="14">
        <f t="shared" si="119"/>
        <v>21861.983386890017</v>
      </c>
      <c r="J207" s="14">
        <f t="shared" si="119"/>
        <v>25140.3084650522</v>
      </c>
      <c r="K207" s="14">
        <f t="shared" si="119"/>
        <v>28447.856093871174</v>
      </c>
      <c r="L207" s="14">
        <f t="shared" si="119"/>
        <v>31960.528003183917</v>
      </c>
      <c r="M207" s="14">
        <f t="shared" si="119"/>
        <v>35552.860531061786</v>
      </c>
      <c r="N207" s="187">
        <f t="shared" si="119"/>
        <v>39239.434924564943</v>
      </c>
      <c r="O207" s="14">
        <f t="shared" si="119"/>
        <v>43221.360999879718</v>
      </c>
      <c r="P207" s="14">
        <f t="shared" si="119"/>
        <v>47499.720819314753</v>
      </c>
      <c r="Q207" s="14">
        <f t="shared" si="119"/>
        <v>51986.874317435751</v>
      </c>
      <c r="R207" s="14">
        <f t="shared" si="119"/>
        <v>56556.001928930185</v>
      </c>
      <c r="S207" s="14">
        <f t="shared" si="119"/>
        <v>61290.06221686909</v>
      </c>
      <c r="T207" s="14">
        <f t="shared" si="119"/>
        <v>66245.04193943947</v>
      </c>
      <c r="U207" s="14">
        <f t="shared" si="119"/>
        <v>71329.265214423867</v>
      </c>
      <c r="V207" s="14">
        <f t="shared" si="119"/>
        <v>76503.510284792894</v>
      </c>
      <c r="W207" s="14">
        <f t="shared" si="119"/>
        <v>81876.374540950317</v>
      </c>
      <c r="X207" s="187">
        <f t="shared" si="119"/>
        <v>87424.892784870157</v>
      </c>
      <c r="Y207" s="158">
        <f t="shared" ref="Y207:AH207" si="120">X207+Y200</f>
        <v>92969.250612746415</v>
      </c>
      <c r="Z207" s="158">
        <f t="shared" si="120"/>
        <v>98678.444028823418</v>
      </c>
      <c r="AA207" s="158">
        <f t="shared" si="120"/>
        <v>104465.54235949632</v>
      </c>
      <c r="AB207" s="158">
        <f t="shared" si="120"/>
        <v>110291.67053661171</v>
      </c>
      <c r="AC207" s="158">
        <f t="shared" si="120"/>
        <v>116169.69195691342</v>
      </c>
      <c r="AD207" s="158">
        <f t="shared" si="120"/>
        <v>122017.89892430467</v>
      </c>
      <c r="AE207" s="158">
        <f t="shared" si="120"/>
        <v>127877.90214293472</v>
      </c>
      <c r="AF207" s="158">
        <f t="shared" si="120"/>
        <v>133808.86768938863</v>
      </c>
      <c r="AG207" s="158">
        <f t="shared" si="120"/>
        <v>139909.72975344598</v>
      </c>
      <c r="AH207" s="187">
        <f t="shared" si="120"/>
        <v>146161.27130707828</v>
      </c>
    </row>
    <row r="208" spans="1:34">
      <c r="A208" s="1"/>
      <c r="C208" s="331"/>
      <c r="D208" s="331"/>
      <c r="E208" s="331"/>
      <c r="F208" s="331"/>
      <c r="G208" s="331"/>
      <c r="H208" s="402"/>
      <c r="I208" s="14"/>
      <c r="J208" s="14"/>
      <c r="K208" s="14"/>
      <c r="L208" s="14"/>
      <c r="M208" s="14"/>
      <c r="N208" s="187"/>
      <c r="O208" s="14"/>
      <c r="P208" s="14"/>
      <c r="Q208" s="14"/>
      <c r="R208" s="14"/>
      <c r="S208" s="14"/>
      <c r="T208" s="14"/>
      <c r="U208" s="14"/>
      <c r="V208" s="14"/>
      <c r="W208" s="14"/>
      <c r="X208" s="187"/>
    </row>
    <row r="209" spans="1:34">
      <c r="A209" s="1" t="s">
        <v>412</v>
      </c>
      <c r="C209" s="331"/>
      <c r="D209" s="331"/>
      <c r="E209" s="331"/>
      <c r="F209" s="331"/>
      <c r="G209" s="331"/>
      <c r="H209" s="402"/>
      <c r="I209" s="14"/>
      <c r="J209" s="14"/>
      <c r="K209" s="14"/>
      <c r="L209" s="14"/>
      <c r="M209" s="14"/>
      <c r="N209" s="187"/>
      <c r="O209" s="14"/>
      <c r="P209" s="14"/>
      <c r="Q209" s="14"/>
      <c r="R209" s="14"/>
      <c r="S209" s="14"/>
      <c r="T209" s="14"/>
      <c r="U209" s="14"/>
      <c r="V209" s="14"/>
      <c r="W209" s="14"/>
      <c r="X209" s="187"/>
    </row>
    <row r="210" spans="1:34" s="1" customFormat="1">
      <c r="A210" s="1" t="s">
        <v>409</v>
      </c>
      <c r="B210" s="13"/>
      <c r="C210" s="341">
        <f>SUM(C211:C212)</f>
        <v>0</v>
      </c>
      <c r="D210" s="341">
        <f t="shared" ref="D210:AH210" si="121">SUM(D211:D212)</f>
        <v>0</v>
      </c>
      <c r="E210" s="341">
        <f t="shared" si="121"/>
        <v>0</v>
      </c>
      <c r="F210" s="341">
        <f t="shared" si="121"/>
        <v>0</v>
      </c>
      <c r="G210" s="341">
        <f t="shared" si="121"/>
        <v>0</v>
      </c>
      <c r="H210" s="405">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410</v>
      </c>
      <c r="C211" s="331">
        <f>C100</f>
        <v>0</v>
      </c>
      <c r="D211" s="331">
        <f t="shared" ref="D211:AH211" si="122">D100</f>
        <v>0</v>
      </c>
      <c r="E211" s="331">
        <f t="shared" si="122"/>
        <v>0</v>
      </c>
      <c r="F211" s="331">
        <f t="shared" si="122"/>
        <v>0</v>
      </c>
      <c r="G211" s="331">
        <f t="shared" si="122"/>
        <v>0</v>
      </c>
      <c r="H211" s="402">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411</v>
      </c>
      <c r="C212" s="331">
        <f>C127</f>
        <v>0</v>
      </c>
      <c r="D212" s="331">
        <f t="shared" ref="D212:AH212" si="123">D127</f>
        <v>0</v>
      </c>
      <c r="E212" s="331">
        <f t="shared" si="123"/>
        <v>0</v>
      </c>
      <c r="F212" s="331">
        <f t="shared" si="123"/>
        <v>0</v>
      </c>
      <c r="G212" s="331">
        <f t="shared" si="123"/>
        <v>0</v>
      </c>
      <c r="H212" s="402">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397</v>
      </c>
      <c r="B213" s="13"/>
      <c r="C213" s="341">
        <f>SUM(C214:C215)</f>
        <v>1718.9158600000001</v>
      </c>
      <c r="D213" s="341">
        <f t="shared" ref="D213:AH213" si="124">SUM(D214:D215)</f>
        <v>2254.0892118011279</v>
      </c>
      <c r="E213" s="341">
        <f t="shared" si="124"/>
        <v>2449.0999633472929</v>
      </c>
      <c r="F213" s="341">
        <f t="shared" si="124"/>
        <v>2829.9107442945087</v>
      </c>
      <c r="G213" s="341">
        <f t="shared" si="124"/>
        <v>3202.9319849741978</v>
      </c>
      <c r="H213" s="405">
        <f t="shared" si="124"/>
        <v>2724.9014232941045</v>
      </c>
      <c r="I213" s="15">
        <f t="shared" si="124"/>
        <v>2983.0466830567598</v>
      </c>
      <c r="J213" s="15">
        <f t="shared" si="124"/>
        <v>3406.3785097238651</v>
      </c>
      <c r="K213" s="15">
        <f t="shared" si="124"/>
        <v>3853.9626029638448</v>
      </c>
      <c r="L213" s="15">
        <f t="shared" si="124"/>
        <v>4350.9458407124621</v>
      </c>
      <c r="M213" s="15">
        <f t="shared" si="124"/>
        <v>4905.6673038012086</v>
      </c>
      <c r="N213" s="190">
        <f t="shared" si="124"/>
        <v>5526.6363125492935</v>
      </c>
      <c r="O213" s="15">
        <f t="shared" si="124"/>
        <v>5691.1668158412886</v>
      </c>
      <c r="P213" s="15">
        <f t="shared" si="124"/>
        <v>5836.6952888561354</v>
      </c>
      <c r="Q213" s="15">
        <f t="shared" si="124"/>
        <v>5967.0589888859931</v>
      </c>
      <c r="R213" s="15">
        <f t="shared" si="124"/>
        <v>6070.0142087613049</v>
      </c>
      <c r="S213" s="15">
        <f t="shared" si="124"/>
        <v>6185.6431592124</v>
      </c>
      <c r="T213" s="15">
        <f t="shared" si="124"/>
        <v>6331.9502767733866</v>
      </c>
      <c r="U213" s="15">
        <f t="shared" si="124"/>
        <v>6449.3614812814585</v>
      </c>
      <c r="V213" s="15">
        <f t="shared" si="124"/>
        <v>6556.5215914634955</v>
      </c>
      <c r="W213" s="15">
        <f t="shared" si="124"/>
        <v>6717.6415110071266</v>
      </c>
      <c r="X213" s="190">
        <f t="shared" si="124"/>
        <v>6853.2858316006868</v>
      </c>
      <c r="Y213" s="130">
        <f t="shared" si="124"/>
        <v>6976.4504320973165</v>
      </c>
      <c r="Z213" s="130">
        <f t="shared" si="124"/>
        <v>7144.5540591106401</v>
      </c>
      <c r="AA213" s="130">
        <f t="shared" si="124"/>
        <v>7291.0556459516956</v>
      </c>
      <c r="AB213" s="130">
        <f t="shared" si="124"/>
        <v>7428.9775850700516</v>
      </c>
      <c r="AC213" s="130">
        <f t="shared" si="124"/>
        <v>7578.2474844406224</v>
      </c>
      <c r="AD213" s="130">
        <f t="shared" si="124"/>
        <v>7739.1029168086188</v>
      </c>
      <c r="AE213" s="130">
        <f t="shared" si="124"/>
        <v>7919.7379110447573</v>
      </c>
      <c r="AF213" s="130">
        <f t="shared" si="124"/>
        <v>8088.8406690547536</v>
      </c>
      <c r="AG213" s="130">
        <f t="shared" si="124"/>
        <v>8308.6880950763552</v>
      </c>
      <c r="AH213" s="190">
        <f t="shared" si="124"/>
        <v>8508.471900307155</v>
      </c>
    </row>
    <row r="214" spans="1:34">
      <c r="A214" t="s">
        <v>398</v>
      </c>
      <c r="C214" s="331">
        <f>C115</f>
        <v>904.69270000000006</v>
      </c>
      <c r="D214" s="331">
        <f t="shared" ref="D214:AH214" si="125">D115</f>
        <v>1186.362895445071</v>
      </c>
      <c r="E214" s="331">
        <f t="shared" si="125"/>
        <v>1289.0001661000376</v>
      </c>
      <c r="F214" s="331">
        <f t="shared" si="125"/>
        <v>1489.4269112407501</v>
      </c>
      <c r="G214" s="331">
        <f t="shared" si="125"/>
        <v>1685.7538718835092</v>
      </c>
      <c r="H214" s="402">
        <f t="shared" si="125"/>
        <v>1434.1587859442657</v>
      </c>
      <c r="I214" s="14">
        <f t="shared" si="125"/>
        <v>1570.0247207814186</v>
      </c>
      <c r="J214" s="14">
        <f t="shared" si="125"/>
        <v>1792.8309615210628</v>
      </c>
      <c r="K214" s="14">
        <f t="shared" si="125"/>
        <v>2028.4015528755799</v>
      </c>
      <c r="L214" s="14">
        <f t="shared" si="125"/>
        <v>2289.9716949252938</v>
      </c>
      <c r="M214" s="14">
        <f t="shared" si="125"/>
        <v>2581.93037775221</v>
      </c>
      <c r="N214" s="182">
        <f t="shared" si="125"/>
        <v>2908.7561911326234</v>
      </c>
      <c r="O214" s="14">
        <f t="shared" si="125"/>
        <v>2995.3511999255943</v>
      </c>
      <c r="P214" s="14">
        <f t="shared" si="125"/>
        <v>3071.9451393362283</v>
      </c>
      <c r="Q214" s="14">
        <f t="shared" si="125"/>
        <v>3140.5576186303279</v>
      </c>
      <c r="R214" s="14">
        <f t="shared" si="125"/>
        <v>3194.7445808774592</v>
      </c>
      <c r="S214" s="14">
        <f t="shared" si="125"/>
        <v>3255.6019281820163</v>
      </c>
      <c r="T214" s="14">
        <f t="shared" si="125"/>
        <v>3332.6056805450849</v>
      </c>
      <c r="U214" s="14">
        <f t="shared" si="125"/>
        <v>3394.4010563771631</v>
      </c>
      <c r="V214" s="14">
        <f t="shared" si="125"/>
        <v>3450.8011189661647</v>
      </c>
      <c r="W214" s="14">
        <f t="shared" si="125"/>
        <v>3535.601083534697</v>
      </c>
      <c r="X214" s="187">
        <f t="shared" si="125"/>
        <v>3606.9928370362959</v>
      </c>
      <c r="Y214" s="158">
        <f t="shared" si="125"/>
        <v>3671.8163162671135</v>
      </c>
      <c r="Z214" s="158">
        <f t="shared" si="125"/>
        <v>3760.2919166456632</v>
      </c>
      <c r="AA214" s="158">
        <f t="shared" si="125"/>
        <v>3837.3980212697193</v>
      </c>
      <c r="AB214" s="158">
        <f t="shared" si="125"/>
        <v>3909.9885214610258</v>
      </c>
      <c r="AC214" s="158">
        <f t="shared" si="125"/>
        <v>3988.5516327983801</v>
      </c>
      <c r="AD214" s="158">
        <f t="shared" si="125"/>
        <v>4073.2123935789082</v>
      </c>
      <c r="AE214" s="158">
        <f t="shared" si="125"/>
        <v>4168.2834509282948</v>
      </c>
      <c r="AF214" s="158">
        <f t="shared" si="125"/>
        <v>4257.2849097690469</v>
      </c>
      <c r="AG214" s="158">
        <f t="shared" si="125"/>
        <v>4372.9940907934651</v>
      </c>
      <c r="AH214" s="187">
        <f t="shared" si="125"/>
        <v>4478.1434705408174</v>
      </c>
    </row>
    <row r="215" spans="1:34">
      <c r="A215" t="s">
        <v>399</v>
      </c>
      <c r="C215" s="331">
        <f>C142</f>
        <v>814.22316000000001</v>
      </c>
      <c r="D215" s="331">
        <f t="shared" ref="D215:AH215" si="126">D142</f>
        <v>1067.7263163560569</v>
      </c>
      <c r="E215" s="331">
        <f t="shared" si="126"/>
        <v>1160.0997972472555</v>
      </c>
      <c r="F215" s="331">
        <f t="shared" si="126"/>
        <v>1340.4838330537586</v>
      </c>
      <c r="G215" s="331">
        <f t="shared" si="126"/>
        <v>1517.1781130906884</v>
      </c>
      <c r="H215" s="402">
        <f t="shared" si="126"/>
        <v>1290.742637349839</v>
      </c>
      <c r="I215" s="14">
        <f t="shared" si="126"/>
        <v>1413.0219622753411</v>
      </c>
      <c r="J215" s="14">
        <f t="shared" si="126"/>
        <v>1613.5475482028023</v>
      </c>
      <c r="K215" s="14">
        <f t="shared" si="126"/>
        <v>1825.5610500882649</v>
      </c>
      <c r="L215" s="14">
        <f t="shared" si="126"/>
        <v>2060.9741457871678</v>
      </c>
      <c r="M215" s="14">
        <f t="shared" si="126"/>
        <v>2323.7369260489986</v>
      </c>
      <c r="N215" s="182">
        <f t="shared" si="126"/>
        <v>2617.8801214166697</v>
      </c>
      <c r="O215" s="14">
        <f t="shared" si="126"/>
        <v>2695.8156159156938</v>
      </c>
      <c r="P215" s="14">
        <f t="shared" si="126"/>
        <v>2764.7501495199067</v>
      </c>
      <c r="Q215" s="14">
        <f t="shared" si="126"/>
        <v>2826.5013702556653</v>
      </c>
      <c r="R215" s="14">
        <f t="shared" si="126"/>
        <v>2875.2696278838457</v>
      </c>
      <c r="S215" s="14">
        <f t="shared" si="126"/>
        <v>2930.0412310303836</v>
      </c>
      <c r="T215" s="14">
        <f t="shared" si="126"/>
        <v>2999.3445962283013</v>
      </c>
      <c r="U215" s="14">
        <f t="shared" si="126"/>
        <v>3054.9604249042955</v>
      </c>
      <c r="V215" s="14">
        <f t="shared" si="126"/>
        <v>3105.7204724973308</v>
      </c>
      <c r="W215" s="14">
        <f t="shared" si="126"/>
        <v>3182.0404274724292</v>
      </c>
      <c r="X215" s="187">
        <f t="shared" si="126"/>
        <v>3246.2929945643909</v>
      </c>
      <c r="Y215" s="158">
        <f t="shared" si="126"/>
        <v>3304.634115830203</v>
      </c>
      <c r="Z215" s="158">
        <f t="shared" si="126"/>
        <v>3384.2621424649769</v>
      </c>
      <c r="AA215" s="158">
        <f t="shared" si="126"/>
        <v>3453.6576246819764</v>
      </c>
      <c r="AB215" s="158">
        <f t="shared" si="126"/>
        <v>3518.9890636090254</v>
      </c>
      <c r="AC215" s="158">
        <f t="shared" si="126"/>
        <v>3589.6958516422428</v>
      </c>
      <c r="AD215" s="158">
        <f t="shared" si="126"/>
        <v>3665.8905232297111</v>
      </c>
      <c r="AE215" s="158">
        <f t="shared" si="126"/>
        <v>3751.4544601164625</v>
      </c>
      <c r="AF215" s="158">
        <f t="shared" si="126"/>
        <v>3831.5557592857067</v>
      </c>
      <c r="AG215" s="158">
        <f t="shared" si="126"/>
        <v>3935.6940042828892</v>
      </c>
      <c r="AH215" s="187">
        <f t="shared" si="126"/>
        <v>4030.3284297663376</v>
      </c>
    </row>
    <row r="216" spans="1:34">
      <c r="A216" t="s">
        <v>400</v>
      </c>
      <c r="C216" s="331">
        <f>SUM(C217:C218)</f>
        <v>22550.546150000002</v>
      </c>
      <c r="D216" s="331">
        <f t="shared" ref="D216:AH216" si="127">SUM(D217:D218)</f>
        <v>22279.441846421629</v>
      </c>
      <c r="E216" s="331">
        <f t="shared" si="127"/>
        <v>24970.372477912151</v>
      </c>
      <c r="F216" s="331">
        <f t="shared" si="127"/>
        <v>25278.814175904859</v>
      </c>
      <c r="G216" s="331">
        <f t="shared" si="127"/>
        <v>22358.698988086391</v>
      </c>
      <c r="H216" s="402">
        <f t="shared" si="127"/>
        <v>22170.31976025</v>
      </c>
      <c r="I216" s="14">
        <f t="shared" si="127"/>
        <v>21744.492524974288</v>
      </c>
      <c r="J216" s="14">
        <f t="shared" si="127"/>
        <v>22261.0392582477</v>
      </c>
      <c r="K216" s="14">
        <f t="shared" si="127"/>
        <v>22549.493390833661</v>
      </c>
      <c r="L216" s="14">
        <f t="shared" si="127"/>
        <v>22776.308014524962</v>
      </c>
      <c r="M216" s="14">
        <f t="shared" si="127"/>
        <v>22958.918502533154</v>
      </c>
      <c r="N216" s="190">
        <f t="shared" si="127"/>
        <v>23106.867921749999</v>
      </c>
      <c r="O216" s="14">
        <f t="shared" si="127"/>
        <v>23318.306383226001</v>
      </c>
      <c r="P216" s="14">
        <f t="shared" si="127"/>
        <v>23434.310539063143</v>
      </c>
      <c r="Q216" s="14">
        <f t="shared" si="127"/>
        <v>23475.158430784046</v>
      </c>
      <c r="R216" s="14">
        <f t="shared" si="127"/>
        <v>23397.750340651481</v>
      </c>
      <c r="S216" s="15">
        <f t="shared" si="127"/>
        <v>23360.287186131471</v>
      </c>
      <c r="T216" s="14">
        <f t="shared" si="127"/>
        <v>23426.748720069823</v>
      </c>
      <c r="U216" s="14">
        <f t="shared" si="127"/>
        <v>23374.605592441247</v>
      </c>
      <c r="V216" s="14">
        <f t="shared" si="127"/>
        <v>23276.918763641934</v>
      </c>
      <c r="W216" s="14">
        <f t="shared" si="127"/>
        <v>23359.53347732699</v>
      </c>
      <c r="X216" s="187">
        <f t="shared" si="127"/>
        <v>23340.596879862402</v>
      </c>
      <c r="Y216" s="158">
        <f t="shared" si="127"/>
        <v>23270.219970104143</v>
      </c>
      <c r="Z216" s="158">
        <f t="shared" si="127"/>
        <v>23339.13769847701</v>
      </c>
      <c r="AA216" s="158">
        <f t="shared" si="127"/>
        <v>23325.693665044244</v>
      </c>
      <c r="AB216" s="158">
        <f t="shared" si="127"/>
        <v>23275.464529580306</v>
      </c>
      <c r="AC216" s="158">
        <f t="shared" si="127"/>
        <v>23251.655020539401</v>
      </c>
      <c r="AD216" s="158">
        <f t="shared" si="127"/>
        <v>23253.160641620663</v>
      </c>
      <c r="AE216" s="158">
        <f t="shared" si="127"/>
        <v>23302.304854639809</v>
      </c>
      <c r="AF216" s="158">
        <f t="shared" si="127"/>
        <v>23305.658015371693</v>
      </c>
      <c r="AG216" s="158">
        <f t="shared" si="127"/>
        <v>23441.467469513867</v>
      </c>
      <c r="AH216" s="187">
        <f t="shared" si="127"/>
        <v>23505.604997406495</v>
      </c>
    </row>
    <row r="217" spans="1:34">
      <c r="A217" t="s">
        <v>401</v>
      </c>
      <c r="C217" s="331">
        <f>C114</f>
        <v>11868.708500000001</v>
      </c>
      <c r="D217" s="331">
        <f t="shared" ref="D217:AH217" si="128">D114</f>
        <v>11726.022024432436</v>
      </c>
      <c r="E217" s="331">
        <f t="shared" si="128"/>
        <v>13142.30130416429</v>
      </c>
      <c r="F217" s="331">
        <f t="shared" si="128"/>
        <v>13304.639039949927</v>
      </c>
      <c r="G217" s="331">
        <f t="shared" si="128"/>
        <v>11767.736309519154</v>
      </c>
      <c r="H217" s="402">
        <f t="shared" si="128"/>
        <v>11668.589347500001</v>
      </c>
      <c r="I217" s="14">
        <f t="shared" si="128"/>
        <v>11444.469749986469</v>
      </c>
      <c r="J217" s="14">
        <f t="shared" si="128"/>
        <v>11716.336451709316</v>
      </c>
      <c r="K217" s="14">
        <f t="shared" si="128"/>
        <v>11868.154416228241</v>
      </c>
      <c r="L217" s="14">
        <f t="shared" si="128"/>
        <v>11987.530533960506</v>
      </c>
      <c r="M217" s="14">
        <f t="shared" si="128"/>
        <v>12083.641317122714</v>
      </c>
      <c r="N217" s="187">
        <f t="shared" si="128"/>
        <v>12161.509432499999</v>
      </c>
      <c r="O217" s="14">
        <f t="shared" si="128"/>
        <v>12272.792833276842</v>
      </c>
      <c r="P217" s="14">
        <f t="shared" si="128"/>
        <v>12333.847652138496</v>
      </c>
      <c r="Q217" s="14">
        <f t="shared" si="128"/>
        <v>12355.34654251792</v>
      </c>
      <c r="R217" s="14">
        <f t="shared" si="128"/>
        <v>12314.605442448146</v>
      </c>
      <c r="S217" s="14">
        <f t="shared" si="128"/>
        <v>12294.887992700775</v>
      </c>
      <c r="T217" s="14">
        <f t="shared" si="128"/>
        <v>12329.867747405171</v>
      </c>
      <c r="U217" s="14">
        <f t="shared" si="128"/>
        <v>12302.423996021709</v>
      </c>
      <c r="V217" s="14">
        <f t="shared" si="128"/>
        <v>12251.009875601017</v>
      </c>
      <c r="W217" s="14">
        <f t="shared" si="128"/>
        <v>12294.49130385631</v>
      </c>
      <c r="X217" s="187">
        <f t="shared" si="128"/>
        <v>12284.52467361179</v>
      </c>
      <c r="Y217" s="158">
        <f t="shared" si="128"/>
        <v>12247.484194791654</v>
      </c>
      <c r="Z217" s="158">
        <f t="shared" si="128"/>
        <v>12283.756683408952</v>
      </c>
      <c r="AA217" s="158">
        <f t="shared" si="128"/>
        <v>12276.680876339076</v>
      </c>
      <c r="AB217" s="158">
        <f t="shared" si="128"/>
        <v>12250.244489252793</v>
      </c>
      <c r="AC217" s="158">
        <f t="shared" si="128"/>
        <v>12237.713168704948</v>
      </c>
      <c r="AD217" s="158">
        <f t="shared" si="128"/>
        <v>12238.505600852981</v>
      </c>
      <c r="AE217" s="158">
        <f t="shared" si="128"/>
        <v>12264.370976126214</v>
      </c>
      <c r="AF217" s="158">
        <f t="shared" si="128"/>
        <v>12266.135797564048</v>
      </c>
      <c r="AG217" s="158">
        <f t="shared" si="128"/>
        <v>12337.614457638878</v>
      </c>
      <c r="AH217" s="187">
        <f t="shared" si="128"/>
        <v>12371.371051266577</v>
      </c>
    </row>
    <row r="218" spans="1:34">
      <c r="A218" t="s">
        <v>402</v>
      </c>
      <c r="C218" s="331">
        <f>C141</f>
        <v>10681.837650000001</v>
      </c>
      <c r="D218" s="331">
        <f t="shared" ref="D218:AH218" si="129">D141</f>
        <v>10553.419821989191</v>
      </c>
      <c r="E218" s="331">
        <f t="shared" si="129"/>
        <v>11828.071173747861</v>
      </c>
      <c r="F218" s="331">
        <f t="shared" si="129"/>
        <v>11974.175135954934</v>
      </c>
      <c r="G218" s="331">
        <f t="shared" si="129"/>
        <v>10590.962678567239</v>
      </c>
      <c r="H218" s="402">
        <f t="shared" si="129"/>
        <v>10501.730412749999</v>
      </c>
      <c r="I218" s="14">
        <f t="shared" si="129"/>
        <v>10300.022774987821</v>
      </c>
      <c r="J218" s="14">
        <f t="shared" si="129"/>
        <v>10544.702806538384</v>
      </c>
      <c r="K218" s="14">
        <f t="shared" si="129"/>
        <v>10681.338974605418</v>
      </c>
      <c r="L218" s="14">
        <f t="shared" si="129"/>
        <v>10788.777480564457</v>
      </c>
      <c r="M218" s="14">
        <f t="shared" si="129"/>
        <v>10875.277185410441</v>
      </c>
      <c r="N218" s="187">
        <f t="shared" si="129"/>
        <v>10945.35848925</v>
      </c>
      <c r="O218" s="14">
        <f t="shared" si="129"/>
        <v>11045.513549949159</v>
      </c>
      <c r="P218" s="14">
        <f t="shared" si="129"/>
        <v>11100.462886924646</v>
      </c>
      <c r="Q218" s="14">
        <f t="shared" si="129"/>
        <v>11119.811888266127</v>
      </c>
      <c r="R218" s="14">
        <f t="shared" si="129"/>
        <v>11083.144898203333</v>
      </c>
      <c r="S218" s="14">
        <f t="shared" si="129"/>
        <v>11065.399193430698</v>
      </c>
      <c r="T218" s="14">
        <f t="shared" si="129"/>
        <v>11096.880972664654</v>
      </c>
      <c r="U218" s="14">
        <f t="shared" si="129"/>
        <v>11072.181596419538</v>
      </c>
      <c r="V218" s="14">
        <f t="shared" si="129"/>
        <v>11025.908888040916</v>
      </c>
      <c r="W218" s="14">
        <f t="shared" si="129"/>
        <v>11065.04217347068</v>
      </c>
      <c r="X218" s="187">
        <f t="shared" si="129"/>
        <v>11056.072206250612</v>
      </c>
      <c r="Y218" s="158">
        <f t="shared" si="129"/>
        <v>11022.735775312489</v>
      </c>
      <c r="Z218" s="158">
        <f t="shared" si="129"/>
        <v>11055.381015068058</v>
      </c>
      <c r="AA218" s="158">
        <f t="shared" si="129"/>
        <v>11049.012788705169</v>
      </c>
      <c r="AB218" s="158">
        <f t="shared" si="129"/>
        <v>11025.220040327513</v>
      </c>
      <c r="AC218" s="158">
        <f t="shared" si="129"/>
        <v>11013.941851834454</v>
      </c>
      <c r="AD218" s="158">
        <f t="shared" si="129"/>
        <v>11014.655040767682</v>
      </c>
      <c r="AE218" s="158">
        <f t="shared" si="129"/>
        <v>11037.933878513595</v>
      </c>
      <c r="AF218" s="158">
        <f t="shared" si="129"/>
        <v>11039.522217807644</v>
      </c>
      <c r="AG218" s="158">
        <f t="shared" si="129"/>
        <v>11103.85301187499</v>
      </c>
      <c r="AH218" s="187">
        <f t="shared" si="129"/>
        <v>11134.233946139921</v>
      </c>
    </row>
    <row r="219" spans="1:34" s="1" customFormat="1">
      <c r="A219" s="1" t="s">
        <v>394</v>
      </c>
      <c r="B219" s="13"/>
      <c r="C219" s="341">
        <f>SUM(C220:C221)</f>
        <v>4067.1400000000003</v>
      </c>
      <c r="D219" s="341">
        <f t="shared" ref="D219:AH219" si="130">SUM(D220:D221)</f>
        <v>3721.7916168457896</v>
      </c>
      <c r="E219" s="341">
        <f t="shared" si="130"/>
        <v>4277.5281640612357</v>
      </c>
      <c r="F219" s="341">
        <f t="shared" si="130"/>
        <v>4164.4826585118872</v>
      </c>
      <c r="G219" s="341">
        <f t="shared" si="130"/>
        <v>3292.2060726383006</v>
      </c>
      <c r="H219" s="405">
        <f t="shared" si="130"/>
        <v>3996.1578878815731</v>
      </c>
      <c r="I219" s="15">
        <f t="shared" si="130"/>
        <v>3694.1299043960867</v>
      </c>
      <c r="J219" s="15">
        <f t="shared" si="130"/>
        <v>3532.1667071628658</v>
      </c>
      <c r="K219" s="15">
        <f t="shared" si="130"/>
        <v>3296.6742880296279</v>
      </c>
      <c r="L219" s="15">
        <f t="shared" si="130"/>
        <v>3015.6715408365126</v>
      </c>
      <c r="M219" s="15">
        <f t="shared" si="130"/>
        <v>2688.8885050769413</v>
      </c>
      <c r="N219" s="190">
        <f t="shared" si="130"/>
        <v>2313.8230611932959</v>
      </c>
      <c r="O219" s="15">
        <f t="shared" si="130"/>
        <v>2442.6734795898346</v>
      </c>
      <c r="P219" s="15">
        <f t="shared" si="130"/>
        <v>2564.0402381011709</v>
      </c>
      <c r="Q219" s="15">
        <f t="shared" si="130"/>
        <v>2678.9492088046381</v>
      </c>
      <c r="R219" s="15">
        <f t="shared" si="130"/>
        <v>2781.2748546172206</v>
      </c>
      <c r="S219" s="15">
        <f t="shared" si="130"/>
        <v>2889.009625063818</v>
      </c>
      <c r="T219" s="15">
        <f t="shared" si="130"/>
        <v>3011.0342142581057</v>
      </c>
      <c r="U219" s="15">
        <f t="shared" si="130"/>
        <v>3119.0380361324305</v>
      </c>
      <c r="V219" s="15">
        <f t="shared" si="130"/>
        <v>3221.4381677027918</v>
      </c>
      <c r="W219" s="15">
        <f t="shared" si="130"/>
        <v>3350.1106694772802</v>
      </c>
      <c r="X219" s="190">
        <f t="shared" si="130"/>
        <v>3465.7638292701554</v>
      </c>
      <c r="Y219" s="130">
        <f t="shared" si="130"/>
        <v>3480.229831936178</v>
      </c>
      <c r="Z219" s="130">
        <f t="shared" si="130"/>
        <v>3514.7141257832627</v>
      </c>
      <c r="AA219" s="130">
        <f t="shared" si="130"/>
        <v>3535.8472070926373</v>
      </c>
      <c r="AB219" s="130">
        <f t="shared" si="130"/>
        <v>3550.3345845674739</v>
      </c>
      <c r="AC219" s="130">
        <f t="shared" si="130"/>
        <v>3567.7884824884763</v>
      </c>
      <c r="AD219" s="130">
        <f t="shared" si="130"/>
        <v>3588.0721592223181</v>
      </c>
      <c r="AE219" s="130">
        <f t="shared" si="130"/>
        <v>3614.7168679864035</v>
      </c>
      <c r="AF219" s="130">
        <f t="shared" si="130"/>
        <v>3633.1445634984589</v>
      </c>
      <c r="AG219" s="130">
        <f t="shared" si="130"/>
        <v>3671.2694514934183</v>
      </c>
      <c r="AH219" s="190">
        <f t="shared" si="130"/>
        <v>3697.056056749534</v>
      </c>
    </row>
    <row r="220" spans="1:34">
      <c r="A220" t="s">
        <v>403</v>
      </c>
      <c r="C220" s="331">
        <f>SUM(C116:C117)</f>
        <v>2140.6</v>
      </c>
      <c r="D220" s="331">
        <f t="shared" ref="D220:AH220" si="131">SUM(D116:D117)</f>
        <v>1958.8376930767315</v>
      </c>
      <c r="E220" s="331">
        <f t="shared" si="131"/>
        <v>2251.3306126638081</v>
      </c>
      <c r="F220" s="331">
        <f t="shared" si="131"/>
        <v>2191.832978164151</v>
      </c>
      <c r="G220" s="331">
        <f t="shared" si="131"/>
        <v>1732.7400382306846</v>
      </c>
      <c r="H220" s="402">
        <f t="shared" si="131"/>
        <v>2103.2409936218805</v>
      </c>
      <c r="I220" s="14">
        <f t="shared" si="131"/>
        <v>1944.2788970505719</v>
      </c>
      <c r="J220" s="14">
        <f t="shared" si="131"/>
        <v>1859.0351090330873</v>
      </c>
      <c r="K220" s="14">
        <f t="shared" si="131"/>
        <v>1735.0917305419096</v>
      </c>
      <c r="L220" s="14">
        <f t="shared" si="131"/>
        <v>1587.1955478086907</v>
      </c>
      <c r="M220" s="14">
        <f t="shared" si="131"/>
        <v>1415.2044763562849</v>
      </c>
      <c r="N220" s="187">
        <f t="shared" si="131"/>
        <v>1217.8016111543661</v>
      </c>
      <c r="O220" s="14">
        <f t="shared" si="131"/>
        <v>1285.6176208367551</v>
      </c>
      <c r="P220" s="14">
        <f t="shared" si="131"/>
        <v>1349.4948621585111</v>
      </c>
      <c r="Q220" s="14">
        <f t="shared" si="131"/>
        <v>1409.9732677919149</v>
      </c>
      <c r="R220" s="14">
        <f t="shared" si="131"/>
        <v>1463.8288708511686</v>
      </c>
      <c r="S220" s="14">
        <f t="shared" si="131"/>
        <v>1520.5313816125358</v>
      </c>
      <c r="T220" s="14">
        <f t="shared" si="131"/>
        <v>1584.7548496095292</v>
      </c>
      <c r="U220" s="14">
        <f t="shared" si="131"/>
        <v>1641.5989663854898</v>
      </c>
      <c r="V220" s="14">
        <f t="shared" si="131"/>
        <v>1695.4937724751535</v>
      </c>
      <c r="W220" s="14">
        <f t="shared" si="131"/>
        <v>1763.2161418301475</v>
      </c>
      <c r="X220" s="187">
        <f t="shared" si="131"/>
        <v>1824.0862259316607</v>
      </c>
      <c r="Y220" s="158">
        <f t="shared" si="131"/>
        <v>1831.6999115453568</v>
      </c>
      <c r="Z220" s="158">
        <f t="shared" si="131"/>
        <v>1849.8495398859277</v>
      </c>
      <c r="AA220" s="158">
        <f t="shared" si="131"/>
        <v>1860.9722142592827</v>
      </c>
      <c r="AB220" s="158">
        <f t="shared" si="131"/>
        <v>1868.5971497723547</v>
      </c>
      <c r="AC220" s="158">
        <f t="shared" si="131"/>
        <v>1877.7834118360402</v>
      </c>
      <c r="AD220" s="158">
        <f t="shared" si="131"/>
        <v>1888.4590311696411</v>
      </c>
      <c r="AE220" s="158">
        <f t="shared" si="131"/>
        <v>1902.4825620981069</v>
      </c>
      <c r="AF220" s="158">
        <f t="shared" si="131"/>
        <v>1912.1813492097153</v>
      </c>
      <c r="AG220" s="158">
        <f t="shared" si="131"/>
        <v>1932.2470797333779</v>
      </c>
      <c r="AH220" s="187">
        <f t="shared" si="131"/>
        <v>1945.818977236597</v>
      </c>
    </row>
    <row r="221" spans="1:34">
      <c r="A221" t="s">
        <v>404</v>
      </c>
      <c r="C221" s="331">
        <f>SUM(C143:C144)</f>
        <v>1926.5400000000002</v>
      </c>
      <c r="D221" s="331">
        <f t="shared" ref="D221:AH221" si="132">SUM(D143:D144)</f>
        <v>1762.9539237690583</v>
      </c>
      <c r="E221" s="331">
        <f t="shared" si="132"/>
        <v>2026.1975513974273</v>
      </c>
      <c r="F221" s="331">
        <f t="shared" si="132"/>
        <v>1972.649680347736</v>
      </c>
      <c r="G221" s="331">
        <f t="shared" si="132"/>
        <v>1559.4660344076162</v>
      </c>
      <c r="H221" s="402">
        <f t="shared" si="132"/>
        <v>1892.9168942596925</v>
      </c>
      <c r="I221" s="14">
        <f t="shared" si="132"/>
        <v>1749.8510073455147</v>
      </c>
      <c r="J221" s="14">
        <f t="shared" si="132"/>
        <v>1673.1315981297785</v>
      </c>
      <c r="K221" s="14">
        <f t="shared" si="132"/>
        <v>1561.5825574877185</v>
      </c>
      <c r="L221" s="14">
        <f t="shared" si="132"/>
        <v>1428.4759930278219</v>
      </c>
      <c r="M221" s="14">
        <f t="shared" si="132"/>
        <v>1273.6840287206564</v>
      </c>
      <c r="N221" s="187">
        <f t="shared" si="132"/>
        <v>1096.0214500389297</v>
      </c>
      <c r="O221" s="14">
        <f t="shared" si="132"/>
        <v>1157.0558587530797</v>
      </c>
      <c r="P221" s="14">
        <f t="shared" si="132"/>
        <v>1214.54537594266</v>
      </c>
      <c r="Q221" s="14">
        <f t="shared" si="132"/>
        <v>1268.9759410127235</v>
      </c>
      <c r="R221" s="14">
        <f t="shared" si="132"/>
        <v>1317.4459837660518</v>
      </c>
      <c r="S221" s="14">
        <f t="shared" si="132"/>
        <v>1368.4782434512822</v>
      </c>
      <c r="T221" s="14">
        <f t="shared" si="132"/>
        <v>1426.2793646485763</v>
      </c>
      <c r="U221" s="14">
        <f t="shared" si="132"/>
        <v>1477.439069746941</v>
      </c>
      <c r="V221" s="14">
        <f t="shared" si="132"/>
        <v>1525.9443952276383</v>
      </c>
      <c r="W221" s="14">
        <f t="shared" si="132"/>
        <v>1586.8945276471327</v>
      </c>
      <c r="X221" s="187">
        <f t="shared" si="132"/>
        <v>1641.6776033384947</v>
      </c>
      <c r="Y221" s="158">
        <f t="shared" si="132"/>
        <v>1648.5299203908212</v>
      </c>
      <c r="Z221" s="158">
        <f t="shared" si="132"/>
        <v>1664.864585897335</v>
      </c>
      <c r="AA221" s="158">
        <f t="shared" si="132"/>
        <v>1674.8749928333546</v>
      </c>
      <c r="AB221" s="158">
        <f t="shared" si="132"/>
        <v>1681.7374347951193</v>
      </c>
      <c r="AC221" s="158">
        <f t="shared" si="132"/>
        <v>1690.0050706524362</v>
      </c>
      <c r="AD221" s="158">
        <f t="shared" si="132"/>
        <v>1699.613128052677</v>
      </c>
      <c r="AE221" s="158">
        <f t="shared" si="132"/>
        <v>1712.2343058882964</v>
      </c>
      <c r="AF221" s="158">
        <f t="shared" si="132"/>
        <v>1720.9632142887435</v>
      </c>
      <c r="AG221" s="158">
        <f t="shared" si="132"/>
        <v>1739.0223717600402</v>
      </c>
      <c r="AH221" s="187">
        <f t="shared" si="132"/>
        <v>1751.2370795129373</v>
      </c>
    </row>
    <row r="222" spans="1:34">
      <c r="A222" s="1" t="s">
        <v>426</v>
      </c>
      <c r="C222" s="331">
        <f>SUM(C210,C213,C216,C219)</f>
        <v>28336.602010000002</v>
      </c>
      <c r="D222" s="331">
        <f t="shared" ref="D222:AH222" si="133">SUM(D210,D213,D216,D219)</f>
        <v>28255.322675068546</v>
      </c>
      <c r="E222" s="331">
        <f t="shared" si="133"/>
        <v>31697.000605320682</v>
      </c>
      <c r="F222" s="331">
        <f t="shared" si="133"/>
        <v>32273.207578711255</v>
      </c>
      <c r="G222" s="331">
        <f t="shared" si="133"/>
        <v>28853.837045698892</v>
      </c>
      <c r="H222" s="402">
        <f t="shared" si="133"/>
        <v>28891.379071425679</v>
      </c>
      <c r="I222" s="14">
        <f t="shared" si="133"/>
        <v>28421.669112427135</v>
      </c>
      <c r="J222" s="14">
        <f t="shared" si="133"/>
        <v>29199.58447513443</v>
      </c>
      <c r="K222" s="14">
        <f t="shared" si="133"/>
        <v>29700.130281827136</v>
      </c>
      <c r="L222" s="14">
        <f t="shared" si="133"/>
        <v>30142.925396073937</v>
      </c>
      <c r="M222" s="14">
        <f t="shared" si="133"/>
        <v>30553.474311411304</v>
      </c>
      <c r="N222" s="187">
        <f t="shared" si="133"/>
        <v>30947.327295492589</v>
      </c>
      <c r="O222" s="14">
        <f t="shared" si="133"/>
        <v>31452.146678657122</v>
      </c>
      <c r="P222" s="14">
        <f t="shared" si="133"/>
        <v>31835.046066020448</v>
      </c>
      <c r="Q222" s="14">
        <f t="shared" si="133"/>
        <v>32121.166628474679</v>
      </c>
      <c r="R222" s="14">
        <f t="shared" si="133"/>
        <v>32249.039404030009</v>
      </c>
      <c r="S222" s="14">
        <f t="shared" si="133"/>
        <v>32434.939970407686</v>
      </c>
      <c r="T222" s="14">
        <f t="shared" si="133"/>
        <v>32769.733211101317</v>
      </c>
      <c r="U222" s="14">
        <f t="shared" si="133"/>
        <v>32943.005109855134</v>
      </c>
      <c r="V222" s="14">
        <f t="shared" si="133"/>
        <v>33054.87852280822</v>
      </c>
      <c r="W222" s="14">
        <f t="shared" si="133"/>
        <v>33427.285657811401</v>
      </c>
      <c r="X222" s="187">
        <f t="shared" si="133"/>
        <v>33659.646540733243</v>
      </c>
      <c r="Y222" s="158">
        <f t="shared" si="133"/>
        <v>33726.90023413764</v>
      </c>
      <c r="Z222" s="158">
        <f t="shared" si="133"/>
        <v>33998.405883370913</v>
      </c>
      <c r="AA222" s="158">
        <f t="shared" si="133"/>
        <v>34152.596518088576</v>
      </c>
      <c r="AB222" s="158">
        <f t="shared" si="133"/>
        <v>34254.776699217837</v>
      </c>
      <c r="AC222" s="158">
        <f t="shared" si="133"/>
        <v>34397.690987468501</v>
      </c>
      <c r="AD222" s="158">
        <f t="shared" si="133"/>
        <v>34580.3357176516</v>
      </c>
      <c r="AE222" s="158">
        <f t="shared" si="133"/>
        <v>34836.759633670968</v>
      </c>
      <c r="AF222" s="158">
        <f t="shared" si="133"/>
        <v>35027.643247924905</v>
      </c>
      <c r="AG222" s="158">
        <f t="shared" si="133"/>
        <v>35421.425016083638</v>
      </c>
      <c r="AH222" s="187">
        <f t="shared" si="133"/>
        <v>35711.132954463188</v>
      </c>
    </row>
    <row r="223" spans="1:34" s="1" customFormat="1">
      <c r="A223" s="1" t="s">
        <v>444</v>
      </c>
      <c r="B223" s="13"/>
      <c r="C223" s="328" t="s">
        <v>0</v>
      </c>
      <c r="D223" s="341">
        <f>D210+D213</f>
        <v>2254.0892118011279</v>
      </c>
      <c r="E223" s="341">
        <f t="shared" ref="E223:AH223" si="134">E210+E213</f>
        <v>2449.0999633472929</v>
      </c>
      <c r="F223" s="341">
        <f t="shared" si="134"/>
        <v>2829.9107442945087</v>
      </c>
      <c r="G223" s="341">
        <f t="shared" si="134"/>
        <v>3202.9319849741978</v>
      </c>
      <c r="H223" s="405">
        <f>H210+H213</f>
        <v>2724.9014232941045</v>
      </c>
      <c r="I223" s="15">
        <f t="shared" si="134"/>
        <v>2983.0466830567598</v>
      </c>
      <c r="J223" s="15">
        <f t="shared" si="134"/>
        <v>3406.3785097238651</v>
      </c>
      <c r="K223" s="15">
        <f t="shared" si="134"/>
        <v>3853.9626029638448</v>
      </c>
      <c r="L223" s="15">
        <f t="shared" si="134"/>
        <v>4350.9458407124621</v>
      </c>
      <c r="M223" s="15">
        <f t="shared" si="134"/>
        <v>4905.6673038012086</v>
      </c>
      <c r="N223" s="190">
        <f t="shared" si="134"/>
        <v>5526.6363125492935</v>
      </c>
      <c r="O223" s="15">
        <f t="shared" si="134"/>
        <v>5691.1668158412886</v>
      </c>
      <c r="P223" s="15">
        <f t="shared" si="134"/>
        <v>5836.6952888561354</v>
      </c>
      <c r="Q223" s="15">
        <f t="shared" si="134"/>
        <v>5967.0589888859931</v>
      </c>
      <c r="R223" s="15">
        <f t="shared" si="134"/>
        <v>6070.0142087613049</v>
      </c>
      <c r="S223" s="15">
        <f t="shared" si="134"/>
        <v>6185.6431592124</v>
      </c>
      <c r="T223" s="15">
        <f t="shared" si="134"/>
        <v>6331.9502767733866</v>
      </c>
      <c r="U223" s="15">
        <f t="shared" si="134"/>
        <v>6449.3614812814585</v>
      </c>
      <c r="V223" s="15">
        <f t="shared" si="134"/>
        <v>6556.5215914634955</v>
      </c>
      <c r="W223" s="15">
        <f t="shared" si="134"/>
        <v>6717.6415110071266</v>
      </c>
      <c r="X223" s="190">
        <f t="shared" si="134"/>
        <v>6853.2858316006868</v>
      </c>
      <c r="Y223" s="130">
        <f t="shared" si="134"/>
        <v>6976.4504320973165</v>
      </c>
      <c r="Z223" s="130">
        <f t="shared" si="134"/>
        <v>7144.5540591106401</v>
      </c>
      <c r="AA223" s="130">
        <f t="shared" si="134"/>
        <v>7291.0556459516956</v>
      </c>
      <c r="AB223" s="130">
        <f t="shared" si="134"/>
        <v>7428.9775850700516</v>
      </c>
      <c r="AC223" s="130">
        <f t="shared" si="134"/>
        <v>7578.2474844406224</v>
      </c>
      <c r="AD223" s="130">
        <f t="shared" si="134"/>
        <v>7739.1029168086188</v>
      </c>
      <c r="AE223" s="130">
        <f t="shared" si="134"/>
        <v>7919.7379110447573</v>
      </c>
      <c r="AF223" s="130">
        <f t="shared" si="134"/>
        <v>8088.8406690547536</v>
      </c>
      <c r="AG223" s="130">
        <f t="shared" si="134"/>
        <v>8308.6880950763552</v>
      </c>
      <c r="AH223" s="190">
        <f t="shared" si="134"/>
        <v>8508.471900307155</v>
      </c>
    </row>
    <row r="224" spans="1:34">
      <c r="A224" t="s">
        <v>447</v>
      </c>
      <c r="D224" s="331">
        <f>D210+D213+D216</f>
        <v>24533.531058222758</v>
      </c>
      <c r="E224" s="331">
        <f t="shared" ref="E224:AH224" si="135">E210+E213+E216</f>
        <v>27419.472441259444</v>
      </c>
      <c r="F224" s="331">
        <f t="shared" si="135"/>
        <v>28108.724920199369</v>
      </c>
      <c r="G224" s="331">
        <f t="shared" si="135"/>
        <v>25561.63097306059</v>
      </c>
      <c r="H224" s="402">
        <f t="shared" si="135"/>
        <v>24895.221183544105</v>
      </c>
      <c r="I224" s="14">
        <f t="shared" si="135"/>
        <v>24727.539208031048</v>
      </c>
      <c r="J224" s="14">
        <f t="shared" si="135"/>
        <v>25667.417767971565</v>
      </c>
      <c r="K224" s="14">
        <f t="shared" si="135"/>
        <v>26403.455993797506</v>
      </c>
      <c r="L224" s="14">
        <f t="shared" si="135"/>
        <v>27127.253855237424</v>
      </c>
      <c r="M224" s="14">
        <f t="shared" si="135"/>
        <v>27864.585806334362</v>
      </c>
      <c r="N224" s="187">
        <f t="shared" si="135"/>
        <v>28633.504234299293</v>
      </c>
      <c r="O224" s="14">
        <f t="shared" si="135"/>
        <v>29009.473199067288</v>
      </c>
      <c r="P224" s="14">
        <f t="shared" si="135"/>
        <v>29271.005827919278</v>
      </c>
      <c r="Q224" s="14">
        <f t="shared" si="135"/>
        <v>29442.21741967004</v>
      </c>
      <c r="R224" s="14">
        <f t="shared" si="135"/>
        <v>29467.764549412786</v>
      </c>
      <c r="S224" s="14">
        <f t="shared" si="135"/>
        <v>29545.93034534387</v>
      </c>
      <c r="T224" s="14">
        <f t="shared" si="135"/>
        <v>29758.69899684321</v>
      </c>
      <c r="U224" s="14">
        <f t="shared" si="135"/>
        <v>29823.967073722706</v>
      </c>
      <c r="V224" s="14">
        <f t="shared" si="135"/>
        <v>29833.440355105427</v>
      </c>
      <c r="W224" s="14">
        <f t="shared" si="135"/>
        <v>30077.174988334118</v>
      </c>
      <c r="X224" s="187">
        <f t="shared" si="135"/>
        <v>30193.882711463088</v>
      </c>
      <c r="Y224" s="158">
        <f t="shared" si="135"/>
        <v>30246.67040220146</v>
      </c>
      <c r="Z224" s="158">
        <f t="shared" si="135"/>
        <v>30483.69175758765</v>
      </c>
      <c r="AA224" s="158">
        <f t="shared" si="135"/>
        <v>30616.74931099594</v>
      </c>
      <c r="AB224" s="158">
        <f t="shared" si="135"/>
        <v>30704.442114650359</v>
      </c>
      <c r="AC224" s="158">
        <f t="shared" si="135"/>
        <v>30829.902504980026</v>
      </c>
      <c r="AD224" s="158">
        <f t="shared" si="135"/>
        <v>30992.26355842928</v>
      </c>
      <c r="AE224" s="158">
        <f t="shared" si="135"/>
        <v>31222.042765684568</v>
      </c>
      <c r="AF224" s="158">
        <f t="shared" si="135"/>
        <v>31394.498684426446</v>
      </c>
      <c r="AG224" s="158">
        <f t="shared" si="135"/>
        <v>31750.155564590223</v>
      </c>
      <c r="AH224" s="187">
        <f t="shared" si="135"/>
        <v>32014.07689771365</v>
      </c>
    </row>
    <row r="225" spans="1:34">
      <c r="D225" s="331"/>
      <c r="E225" s="331"/>
      <c r="F225" s="331"/>
      <c r="G225" s="331"/>
      <c r="H225" s="402"/>
      <c r="I225" s="14"/>
      <c r="J225" s="14"/>
      <c r="K225" s="14"/>
      <c r="L225" s="14"/>
      <c r="M225" s="14"/>
      <c r="N225" s="187"/>
      <c r="O225" s="14"/>
      <c r="P225" s="14"/>
      <c r="Q225" s="14"/>
      <c r="R225" s="14"/>
      <c r="S225" s="14"/>
      <c r="T225" s="14"/>
      <c r="U225" s="14"/>
      <c r="V225" s="14"/>
      <c r="W225" s="14"/>
      <c r="X225" s="187"/>
    </row>
    <row r="226" spans="1:34">
      <c r="A226" s="1" t="s">
        <v>454</v>
      </c>
      <c r="D226" s="331">
        <f>D210+D213</f>
        <v>2254.0892118011279</v>
      </c>
      <c r="E226" s="331">
        <f>D226+E210+E213</f>
        <v>4703.1891751484209</v>
      </c>
      <c r="F226" s="331">
        <f>E226+F210+F213</f>
        <v>7533.0999194429296</v>
      </c>
      <c r="G226" s="331">
        <f>F226+G210+G213</f>
        <v>10736.031904417126</v>
      </c>
      <c r="H226" s="402">
        <f t="shared" ref="H226:X226" si="136">G226+H210+H213</f>
        <v>13460.933327711231</v>
      </c>
      <c r="I226" s="14">
        <f t="shared" si="136"/>
        <v>16443.980010767991</v>
      </c>
      <c r="J226" s="14">
        <f t="shared" si="136"/>
        <v>19850.358520491856</v>
      </c>
      <c r="K226" s="14">
        <f t="shared" si="136"/>
        <v>23704.321123455702</v>
      </c>
      <c r="L226" s="14">
        <f t="shared" si="136"/>
        <v>28055.266964168164</v>
      </c>
      <c r="M226" s="14">
        <f t="shared" si="136"/>
        <v>32960.934267969373</v>
      </c>
      <c r="N226" s="187">
        <f t="shared" si="136"/>
        <v>38487.570580518666</v>
      </c>
      <c r="O226" s="14">
        <f t="shared" si="136"/>
        <v>44178.737396359953</v>
      </c>
      <c r="P226" s="14">
        <f t="shared" si="136"/>
        <v>50015.432685216088</v>
      </c>
      <c r="Q226" s="14">
        <f t="shared" si="136"/>
        <v>55982.491674102079</v>
      </c>
      <c r="R226" s="14">
        <f t="shared" si="136"/>
        <v>62052.505882863385</v>
      </c>
      <c r="S226" s="14">
        <f t="shared" si="136"/>
        <v>68238.149042075791</v>
      </c>
      <c r="T226" s="14">
        <f t="shared" si="136"/>
        <v>74570.099318849185</v>
      </c>
      <c r="U226" s="14">
        <f t="shared" si="136"/>
        <v>81019.460800130648</v>
      </c>
      <c r="V226" s="14">
        <f t="shared" si="136"/>
        <v>87575.982391594138</v>
      </c>
      <c r="W226" s="14">
        <f t="shared" si="136"/>
        <v>94293.623902601263</v>
      </c>
      <c r="X226" s="187">
        <f t="shared" si="136"/>
        <v>101146.90973420195</v>
      </c>
      <c r="Y226" s="158">
        <f t="shared" ref="Y226:AH226" si="137">X226+Y210+Y213</f>
        <v>108123.36016629927</v>
      </c>
      <c r="Z226" s="158">
        <f t="shared" si="137"/>
        <v>115267.91422540991</v>
      </c>
      <c r="AA226" s="158">
        <f t="shared" si="137"/>
        <v>122558.96987136161</v>
      </c>
      <c r="AB226" s="158">
        <f t="shared" si="137"/>
        <v>129987.94745643166</v>
      </c>
      <c r="AC226" s="158">
        <f t="shared" si="137"/>
        <v>137566.19494087229</v>
      </c>
      <c r="AD226" s="158">
        <f t="shared" si="137"/>
        <v>145305.29785768091</v>
      </c>
      <c r="AE226" s="158">
        <f t="shared" si="137"/>
        <v>153225.03576872568</v>
      </c>
      <c r="AF226" s="158">
        <f t="shared" si="137"/>
        <v>161313.87643778042</v>
      </c>
      <c r="AG226" s="158">
        <f t="shared" si="137"/>
        <v>169622.56453285678</v>
      </c>
      <c r="AH226" s="187">
        <f t="shared" si="137"/>
        <v>178131.03643316394</v>
      </c>
    </row>
    <row r="227" spans="1:34">
      <c r="A227" s="1" t="s">
        <v>455</v>
      </c>
      <c r="D227" s="331">
        <f>D219</f>
        <v>3721.7916168457896</v>
      </c>
      <c r="E227" s="331">
        <f>D227+E219</f>
        <v>7999.3197809070252</v>
      </c>
      <c r="F227" s="331">
        <f>E227+F219</f>
        <v>12163.802439418912</v>
      </c>
      <c r="G227" s="331">
        <f t="shared" ref="G227:X227" si="138">F227+G219</f>
        <v>15456.008512057213</v>
      </c>
      <c r="H227" s="402">
        <f t="shared" si="138"/>
        <v>19452.166399938786</v>
      </c>
      <c r="I227" s="14">
        <f t="shared" si="138"/>
        <v>23146.296304334872</v>
      </c>
      <c r="J227" s="14">
        <f t="shared" si="138"/>
        <v>26678.463011497737</v>
      </c>
      <c r="K227" s="14">
        <f t="shared" si="138"/>
        <v>29975.137299527363</v>
      </c>
      <c r="L227" s="14">
        <f t="shared" si="138"/>
        <v>32990.808840363876</v>
      </c>
      <c r="M227" s="14">
        <f t="shared" si="138"/>
        <v>35679.697345440814</v>
      </c>
      <c r="N227" s="187">
        <f t="shared" si="138"/>
        <v>37993.52040663411</v>
      </c>
      <c r="O227" s="14">
        <f t="shared" si="138"/>
        <v>40436.193886223948</v>
      </c>
      <c r="P227" s="14">
        <f t="shared" si="138"/>
        <v>43000.234124325121</v>
      </c>
      <c r="Q227" s="14">
        <f t="shared" si="138"/>
        <v>45679.18333312976</v>
      </c>
      <c r="R227" s="14">
        <f t="shared" si="138"/>
        <v>48460.458187746983</v>
      </c>
      <c r="S227" s="14">
        <f t="shared" si="138"/>
        <v>51349.467812810799</v>
      </c>
      <c r="T227" s="14">
        <f t="shared" si="138"/>
        <v>54360.502027068906</v>
      </c>
      <c r="U227" s="14">
        <f t="shared" si="138"/>
        <v>57479.540063201333</v>
      </c>
      <c r="V227" s="14">
        <f t="shared" si="138"/>
        <v>60700.978230904126</v>
      </c>
      <c r="W227" s="14">
        <f t="shared" si="138"/>
        <v>64051.088900381408</v>
      </c>
      <c r="X227" s="187">
        <f t="shared" si="138"/>
        <v>67516.852729651568</v>
      </c>
      <c r="Y227" s="158">
        <f t="shared" ref="Y227:AH227" si="139">X227+Y219</f>
        <v>70997.08256158774</v>
      </c>
      <c r="Z227" s="158">
        <f t="shared" si="139"/>
        <v>74511.79668737101</v>
      </c>
      <c r="AA227" s="158">
        <f t="shared" si="139"/>
        <v>78047.643894463647</v>
      </c>
      <c r="AB227" s="158">
        <f t="shared" si="139"/>
        <v>81597.978479031124</v>
      </c>
      <c r="AC227" s="158">
        <f t="shared" si="139"/>
        <v>85165.766961519606</v>
      </c>
      <c r="AD227" s="158">
        <f t="shared" si="139"/>
        <v>88753.839120741919</v>
      </c>
      <c r="AE227" s="158">
        <f t="shared" si="139"/>
        <v>92368.555988728316</v>
      </c>
      <c r="AF227" s="158">
        <f t="shared" si="139"/>
        <v>96001.700552226772</v>
      </c>
      <c r="AG227" s="158">
        <f t="shared" si="139"/>
        <v>99672.970003720184</v>
      </c>
      <c r="AH227" s="187">
        <f t="shared" si="139"/>
        <v>103370.02606046971</v>
      </c>
    </row>
    <row r="228" spans="1:34">
      <c r="A228" s="1" t="s">
        <v>457</v>
      </c>
      <c r="D228" s="331">
        <f t="shared" ref="D228:AH228" si="140">D227-D207</f>
        <v>-225.3823831542104</v>
      </c>
      <c r="E228" s="331">
        <f t="shared" si="140"/>
        <v>853.77596860558515</v>
      </c>
      <c r="F228" s="331">
        <f t="shared" si="140"/>
        <v>1446.6809568713979</v>
      </c>
      <c r="G228" s="331">
        <f t="shared" si="140"/>
        <v>734.46659781856579</v>
      </c>
      <c r="H228" s="402">
        <f>H227-H207</f>
        <v>734.25132781856519</v>
      </c>
      <c r="I228" s="14">
        <f t="shared" si="140"/>
        <v>1284.312917444855</v>
      </c>
      <c r="J228" s="14">
        <f t="shared" si="140"/>
        <v>1538.1545464455376</v>
      </c>
      <c r="K228" s="14">
        <f t="shared" si="140"/>
        <v>1527.2812056561888</v>
      </c>
      <c r="L228" s="14">
        <f t="shared" si="140"/>
        <v>1030.2808371799583</v>
      </c>
      <c r="M228" s="14">
        <f t="shared" si="140"/>
        <v>126.83681437902851</v>
      </c>
      <c r="N228" s="187">
        <f t="shared" si="140"/>
        <v>-1245.9145179308325</v>
      </c>
      <c r="O228" s="14">
        <f t="shared" si="140"/>
        <v>-2785.1671136557707</v>
      </c>
      <c r="P228" s="14">
        <f t="shared" si="140"/>
        <v>-4499.4866949896314</v>
      </c>
      <c r="Q228" s="14">
        <f t="shared" si="140"/>
        <v>-6307.6909843059912</v>
      </c>
      <c r="R228" s="14">
        <f t="shared" si="140"/>
        <v>-8095.5437411832027</v>
      </c>
      <c r="S228" s="14">
        <f t="shared" si="140"/>
        <v>-9940.5944040582908</v>
      </c>
      <c r="T228" s="14">
        <f t="shared" si="140"/>
        <v>-11884.539912370565</v>
      </c>
      <c r="U228" s="14">
        <f t="shared" si="140"/>
        <v>-13849.725151222534</v>
      </c>
      <c r="V228" s="14">
        <f t="shared" si="140"/>
        <v>-15802.532053888768</v>
      </c>
      <c r="W228" s="14">
        <f t="shared" si="140"/>
        <v>-17825.285640568909</v>
      </c>
      <c r="X228" s="187">
        <f t="shared" si="140"/>
        <v>-19908.040055218589</v>
      </c>
      <c r="Y228" s="158">
        <f t="shared" si="140"/>
        <v>-21972.168051158675</v>
      </c>
      <c r="Z228" s="158">
        <f t="shared" si="140"/>
        <v>-24166.647341452408</v>
      </c>
      <c r="AA228" s="158">
        <f t="shared" si="140"/>
        <v>-26417.898465032675</v>
      </c>
      <c r="AB228" s="158">
        <f t="shared" si="140"/>
        <v>-28693.692057580585</v>
      </c>
      <c r="AC228" s="158">
        <f t="shared" si="140"/>
        <v>-31003.924995393812</v>
      </c>
      <c r="AD228" s="158">
        <f t="shared" si="140"/>
        <v>-33264.059803562748</v>
      </c>
      <c r="AE228" s="158">
        <f t="shared" si="140"/>
        <v>-35509.346154206403</v>
      </c>
      <c r="AF228" s="158">
        <f t="shared" si="140"/>
        <v>-37807.167137161858</v>
      </c>
      <c r="AG228" s="158">
        <f t="shared" si="140"/>
        <v>-40236.759749725796</v>
      </c>
      <c r="AH228" s="187">
        <f t="shared" si="140"/>
        <v>-42791.245246608567</v>
      </c>
    </row>
    <row r="229" spans="1:34">
      <c r="I229" s="129"/>
      <c r="J229" s="129"/>
      <c r="K229" s="129"/>
      <c r="L229" s="129"/>
      <c r="M229" s="129"/>
      <c r="O229" s="129"/>
      <c r="P229" s="129"/>
      <c r="Q229" s="129"/>
      <c r="R229" s="129"/>
      <c r="S229" s="129"/>
      <c r="T229" s="129"/>
      <c r="U229" s="129"/>
      <c r="V229" s="129"/>
      <c r="W229" s="129"/>
    </row>
    <row r="230" spans="1:34">
      <c r="A230" s="1" t="s">
        <v>413</v>
      </c>
    </row>
    <row r="231" spans="1:34">
      <c r="A231" t="s">
        <v>414</v>
      </c>
      <c r="C231" s="331">
        <f t="shared" ref="C231:AH231" si="141">C210-C191</f>
        <v>0</v>
      </c>
      <c r="D231" s="331">
        <f t="shared" si="141"/>
        <v>0</v>
      </c>
      <c r="E231" s="331">
        <f t="shared" si="141"/>
        <v>0</v>
      </c>
      <c r="F231" s="331">
        <f t="shared" si="141"/>
        <v>0</v>
      </c>
      <c r="G231" s="331">
        <f t="shared" si="141"/>
        <v>0</v>
      </c>
      <c r="H231" s="402">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415</v>
      </c>
      <c r="C232" s="331">
        <f t="shared" ref="C232:AH232" si="143">C211-C192</f>
        <v>0</v>
      </c>
      <c r="D232" s="331">
        <f t="shared" si="143"/>
        <v>0</v>
      </c>
      <c r="E232" s="331">
        <f t="shared" si="143"/>
        <v>0</v>
      </c>
      <c r="F232" s="331">
        <f t="shared" si="143"/>
        <v>0</v>
      </c>
      <c r="G232" s="331">
        <f t="shared" si="143"/>
        <v>0</v>
      </c>
      <c r="H232" s="402">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416</v>
      </c>
      <c r="C233" s="331">
        <f t="shared" ref="C233:AH233" si="144">C212-C193</f>
        <v>0</v>
      </c>
      <c r="D233" s="331">
        <f t="shared" si="144"/>
        <v>0</v>
      </c>
      <c r="E233" s="331">
        <f t="shared" si="144"/>
        <v>0</v>
      </c>
      <c r="F233" s="331">
        <f t="shared" si="144"/>
        <v>0</v>
      </c>
      <c r="G233" s="331">
        <f t="shared" si="144"/>
        <v>0</v>
      </c>
      <c r="H233" s="402">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417</v>
      </c>
      <c r="C234" s="331">
        <f t="shared" ref="C234:AH234" si="145">C213-C194</f>
        <v>-2.7000000000043656E-4</v>
      </c>
      <c r="D234" s="331">
        <f t="shared" si="145"/>
        <v>8.1801127635117155E-5</v>
      </c>
      <c r="E234" s="331">
        <f t="shared" si="145"/>
        <v>294.12916885170762</v>
      </c>
      <c r="F234" s="331">
        <f t="shared" si="145"/>
        <v>456.29378517517307</v>
      </c>
      <c r="G234" s="331">
        <f t="shared" si="145"/>
        <v>504.47709788406974</v>
      </c>
      <c r="H234" s="402">
        <f>H213-H194</f>
        <v>-2.7000000045518391E-4</v>
      </c>
      <c r="I234" s="14">
        <f t="shared" si="145"/>
        <v>103.16941864521095</v>
      </c>
      <c r="J234" s="14">
        <f t="shared" si="145"/>
        <v>413.14499956005784</v>
      </c>
      <c r="K234" s="14">
        <f t="shared" si="145"/>
        <v>794.95953094785273</v>
      </c>
      <c r="L234" s="14">
        <f t="shared" si="145"/>
        <v>1182.9259720423902</v>
      </c>
      <c r="M234" s="14">
        <f t="shared" si="145"/>
        <v>1622.0281330674388</v>
      </c>
      <c r="N234" s="187">
        <f t="shared" si="145"/>
        <v>2215.0894566324578</v>
      </c>
      <c r="O234" s="14">
        <f t="shared" si="145"/>
        <v>2350.9089586035589</v>
      </c>
      <c r="P234" s="14">
        <f t="shared" si="145"/>
        <v>2489.1643631627103</v>
      </c>
      <c r="Q234" s="14">
        <f t="shared" si="145"/>
        <v>2591.8575583098464</v>
      </c>
      <c r="R234" s="14">
        <f t="shared" si="145"/>
        <v>2648.9154390281697</v>
      </c>
      <c r="S234" s="14">
        <f t="shared" si="145"/>
        <v>2778.7025688586673</v>
      </c>
      <c r="T234" s="14">
        <f t="shared" si="145"/>
        <v>2852.8248298479707</v>
      </c>
      <c r="U234" s="14">
        <f t="shared" si="145"/>
        <v>2945.8733074122292</v>
      </c>
      <c r="V234" s="14">
        <f t="shared" si="145"/>
        <v>3041.1050486641248</v>
      </c>
      <c r="W234" s="14">
        <f t="shared" si="145"/>
        <v>3199.9974633461916</v>
      </c>
      <c r="X234" s="187">
        <f t="shared" si="145"/>
        <v>3317.0540414667457</v>
      </c>
      <c r="Y234" s="158">
        <f t="shared" si="145"/>
        <v>3403.1688406769049</v>
      </c>
      <c r="Z234" s="158">
        <f t="shared" si="145"/>
        <v>3518.5026944710385</v>
      </c>
      <c r="AA234" s="158">
        <f t="shared" si="145"/>
        <v>3625.484175180718</v>
      </c>
      <c r="AB234" s="158">
        <f t="shared" si="145"/>
        <v>3721.2164680369669</v>
      </c>
      <c r="AC234" s="158">
        <f t="shared" si="145"/>
        <v>3846.1701113996419</v>
      </c>
      <c r="AD234" s="158">
        <f t="shared" si="145"/>
        <v>3770.5579420518879</v>
      </c>
      <c r="AE234" s="158">
        <f t="shared" si="145"/>
        <v>3686.6140880834282</v>
      </c>
      <c r="AF234" s="158">
        <f t="shared" si="145"/>
        <v>3765.5729976510193</v>
      </c>
      <c r="AG234" s="158">
        <f t="shared" si="145"/>
        <v>3927.6637639439923</v>
      </c>
      <c r="AH234" s="187">
        <f t="shared" si="145"/>
        <v>4048.9511355072109</v>
      </c>
    </row>
    <row r="235" spans="1:34">
      <c r="A235" t="s">
        <v>418</v>
      </c>
      <c r="C235" s="331">
        <f t="shared" ref="C235:AH235" si="146">C214-C195</f>
        <v>0</v>
      </c>
      <c r="D235" s="331">
        <f t="shared" si="146"/>
        <v>1.9544507085811347E-4</v>
      </c>
      <c r="E235" s="331">
        <f t="shared" si="146"/>
        <v>154.80501110236105</v>
      </c>
      <c r="F235" s="331">
        <f t="shared" si="146"/>
        <v>240.15482749373132</v>
      </c>
      <c r="G235" s="331">
        <f t="shared" si="146"/>
        <v>265.51445762554727</v>
      </c>
      <c r="H235" s="402">
        <f t="shared" si="146"/>
        <v>0</v>
      </c>
      <c r="I235" s="14">
        <f t="shared" si="146"/>
        <v>54.299844775340262</v>
      </c>
      <c r="J235" s="14">
        <f t="shared" si="146"/>
        <v>217.44490354011168</v>
      </c>
      <c r="K235" s="14">
        <f t="shared" si="146"/>
        <v>418.39993602505797</v>
      </c>
      <c r="L235" s="14">
        <f t="shared" si="146"/>
        <v>622.59281667788764</v>
      </c>
      <c r="M235" s="14">
        <f t="shared" si="146"/>
        <v>853.69923526075218</v>
      </c>
      <c r="N235" s="187">
        <f t="shared" si="146"/>
        <v>1165.836793281657</v>
      </c>
      <c r="O235" s="14">
        <f t="shared" si="146"/>
        <v>1237.3207487478419</v>
      </c>
      <c r="P235" s="14">
        <f t="shared" si="146"/>
        <v>1310.0867573923204</v>
      </c>
      <c r="Q235" s="14">
        <f t="shared" si="146"/>
        <v>1364.1358130639346</v>
      </c>
      <c r="R235" s="14">
        <f t="shared" si="146"/>
        <v>1394.1662810179143</v>
      </c>
      <c r="S235" s="14">
        <f t="shared" si="146"/>
        <v>1462.4753016800519</v>
      </c>
      <c r="T235" s="14">
        <f t="shared" si="146"/>
        <v>1501.4870242685502</v>
      </c>
      <c r="U235" s="14">
        <f t="shared" si="146"/>
        <v>1550.4599122354634</v>
      </c>
      <c r="V235" s="14">
        <f t="shared" si="146"/>
        <v>1600.5818859138644</v>
      </c>
      <c r="W235" s="14">
        <f t="shared" si="146"/>
        <v>1684.209479502626</v>
      </c>
      <c r="X235" s="187">
        <f t="shared" si="146"/>
        <v>1745.8182106500112</v>
      </c>
      <c r="Y235" s="158">
        <f t="shared" si="146"/>
        <v>1791.141794466897</v>
      </c>
      <c r="Z235" s="158">
        <f t="shared" si="146"/>
        <v>1851.8438299932413</v>
      </c>
      <c r="AA235" s="158">
        <f t="shared" si="146"/>
        <v>1908.1498787586784</v>
      </c>
      <c r="AB235" s="158">
        <f t="shared" si="146"/>
        <v>1958.5353019699287</v>
      </c>
      <c r="AC235" s="158">
        <f t="shared" si="146"/>
        <v>2024.300383829443</v>
      </c>
      <c r="AD235" s="158">
        <f t="shared" si="146"/>
        <v>1984.5045121279973</v>
      </c>
      <c r="AE235" s="158">
        <f t="shared" si="146"/>
        <v>1940.3235441065426</v>
      </c>
      <c r="AF235" s="158">
        <f t="shared" si="146"/>
        <v>1981.8808721881342</v>
      </c>
      <c r="AG235" s="158">
        <f t="shared" si="146"/>
        <v>2067.1918112501162</v>
      </c>
      <c r="AH235" s="187">
        <f t="shared" si="146"/>
        <v>2131.027278540847</v>
      </c>
    </row>
    <row r="236" spans="1:34">
      <c r="A236" t="s">
        <v>419</v>
      </c>
      <c r="C236" s="331">
        <f t="shared" ref="C236:AH236" si="147">C215-C196</f>
        <v>-2.7000000000043656E-4</v>
      </c>
      <c r="D236" s="331">
        <f t="shared" si="147"/>
        <v>-1.1364394322299631E-4</v>
      </c>
      <c r="E236" s="331">
        <f t="shared" si="147"/>
        <v>139.32415774934657</v>
      </c>
      <c r="F236" s="331">
        <f t="shared" si="147"/>
        <v>216.13895768144175</v>
      </c>
      <c r="G236" s="331">
        <f t="shared" si="147"/>
        <v>238.96264025852247</v>
      </c>
      <c r="H236" s="402">
        <f>H215-H196</f>
        <v>-2.7000000000043656E-4</v>
      </c>
      <c r="I236" s="14">
        <f t="shared" si="147"/>
        <v>48.869573869870464</v>
      </c>
      <c r="J236" s="14">
        <f t="shared" si="147"/>
        <v>195.70009601994616</v>
      </c>
      <c r="K236" s="14">
        <f t="shared" si="147"/>
        <v>376.55959492279499</v>
      </c>
      <c r="L236" s="14">
        <f t="shared" si="147"/>
        <v>560.33315536450209</v>
      </c>
      <c r="M236" s="14">
        <f t="shared" si="147"/>
        <v>768.32889780668665</v>
      </c>
      <c r="N236" s="187">
        <f t="shared" si="147"/>
        <v>1049.2526633508</v>
      </c>
      <c r="O236" s="14">
        <f t="shared" si="147"/>
        <v>1113.5882098557165</v>
      </c>
      <c r="P236" s="14">
        <f t="shared" si="147"/>
        <v>1179.0776057703893</v>
      </c>
      <c r="Q236" s="14">
        <f t="shared" si="147"/>
        <v>1227.7217452459115</v>
      </c>
      <c r="R236" s="14">
        <f t="shared" si="147"/>
        <v>1254.7491580102553</v>
      </c>
      <c r="S236" s="14">
        <f t="shared" si="147"/>
        <v>1316.2272671786156</v>
      </c>
      <c r="T236" s="14">
        <f t="shared" si="147"/>
        <v>1351.3378055794201</v>
      </c>
      <c r="U236" s="14">
        <f t="shared" si="147"/>
        <v>1395.4133951767658</v>
      </c>
      <c r="V236" s="14">
        <f t="shared" si="147"/>
        <v>1440.5231627502603</v>
      </c>
      <c r="W236" s="14">
        <f t="shared" si="147"/>
        <v>1515.7879838435651</v>
      </c>
      <c r="X236" s="187">
        <f t="shared" si="147"/>
        <v>1571.2358308167345</v>
      </c>
      <c r="Y236" s="158">
        <f t="shared" si="147"/>
        <v>1612.0270462100079</v>
      </c>
      <c r="Z236" s="158">
        <f t="shared" si="147"/>
        <v>1666.6588644777971</v>
      </c>
      <c r="AA236" s="158">
        <f t="shared" si="147"/>
        <v>1717.3342964220396</v>
      </c>
      <c r="AB236" s="158">
        <f t="shared" si="147"/>
        <v>1762.6811660670378</v>
      </c>
      <c r="AC236" s="158">
        <f t="shared" si="147"/>
        <v>1821.8697275701993</v>
      </c>
      <c r="AD236" s="158">
        <f t="shared" si="147"/>
        <v>1786.0534299238911</v>
      </c>
      <c r="AE236" s="158">
        <f t="shared" si="147"/>
        <v>1746.2905439768856</v>
      </c>
      <c r="AF236" s="158">
        <f t="shared" si="147"/>
        <v>1783.6921254628853</v>
      </c>
      <c r="AG236" s="158">
        <f t="shared" si="147"/>
        <v>1860.4719526938748</v>
      </c>
      <c r="AH236" s="187">
        <f t="shared" si="147"/>
        <v>1917.9238569663639</v>
      </c>
    </row>
    <row r="237" spans="1:34">
      <c r="A237" t="s">
        <v>420</v>
      </c>
      <c r="C237" s="331">
        <f t="shared" ref="C237:AH237" si="148">C216-C197</f>
        <v>0</v>
      </c>
      <c r="D237" s="331">
        <f t="shared" si="148"/>
        <v>359.25869642162797</v>
      </c>
      <c r="E237" s="331">
        <f t="shared" si="148"/>
        <v>-1736.3516193378491</v>
      </c>
      <c r="F237" s="331">
        <f t="shared" si="148"/>
        <v>-1106.1264343451403</v>
      </c>
      <c r="G237" s="331">
        <f t="shared" si="148"/>
        <v>625.04842833639123</v>
      </c>
      <c r="H237" s="402">
        <f t="shared" si="148"/>
        <v>0</v>
      </c>
      <c r="I237" s="14">
        <f t="shared" si="148"/>
        <v>-820.20057852570972</v>
      </c>
      <c r="J237" s="14">
        <f t="shared" si="148"/>
        <v>-682.57933825230066</v>
      </c>
      <c r="K237" s="14">
        <f t="shared" si="148"/>
        <v>-647.49574891633893</v>
      </c>
      <c r="L237" s="14">
        <f t="shared" si="148"/>
        <v>-330.55990722503702</v>
      </c>
      <c r="M237" s="14">
        <f t="shared" si="148"/>
        <v>-147.95631621684879</v>
      </c>
      <c r="N237" s="187">
        <f t="shared" si="148"/>
        <v>0</v>
      </c>
      <c r="O237" s="14">
        <f t="shared" si="148"/>
        <v>103.19945147600083</v>
      </c>
      <c r="P237" s="14">
        <f t="shared" si="148"/>
        <v>219.21050431314143</v>
      </c>
      <c r="Q237" s="14">
        <f t="shared" si="148"/>
        <v>260.06074728404201</v>
      </c>
      <c r="R237" s="14">
        <f t="shared" si="148"/>
        <v>182.65265715147689</v>
      </c>
      <c r="S237" s="14">
        <f t="shared" si="148"/>
        <v>145.18950263146689</v>
      </c>
      <c r="T237" s="14">
        <f t="shared" si="148"/>
        <v>211.65354456981731</v>
      </c>
      <c r="U237" s="14">
        <f t="shared" si="148"/>
        <v>159.51041694124069</v>
      </c>
      <c r="V237" s="14">
        <f t="shared" si="148"/>
        <v>61.823588141927758</v>
      </c>
      <c r="W237" s="14">
        <f t="shared" si="148"/>
        <v>17.36358482698779</v>
      </c>
      <c r="X237" s="187">
        <f t="shared" si="148"/>
        <v>-1.5730126376001863</v>
      </c>
      <c r="Y237" s="158">
        <f t="shared" si="148"/>
        <v>-99.520366395856399</v>
      </c>
      <c r="Z237" s="158">
        <f t="shared" si="148"/>
        <v>-30.602794772989</v>
      </c>
      <c r="AA237" s="158">
        <f t="shared" si="148"/>
        <v>-44.046828205755446</v>
      </c>
      <c r="AB237" s="158">
        <f t="shared" si="148"/>
        <v>-94.275963669693738</v>
      </c>
      <c r="AC237" s="158">
        <f t="shared" si="148"/>
        <v>-158.65299971059721</v>
      </c>
      <c r="AD237" s="158">
        <f t="shared" si="148"/>
        <v>-157.15443237933505</v>
      </c>
      <c r="AE237" s="158">
        <f t="shared" si="148"/>
        <v>-108.00536011019358</v>
      </c>
      <c r="AF237" s="158">
        <f t="shared" si="148"/>
        <v>-104.64498887830632</v>
      </c>
      <c r="AG237" s="158">
        <f t="shared" si="148"/>
        <v>-66.823251486137451</v>
      </c>
      <c r="AH237" s="187">
        <f t="shared" si="148"/>
        <v>-2.683529093505058</v>
      </c>
    </row>
    <row r="238" spans="1:34">
      <c r="A238" t="s">
        <v>421</v>
      </c>
      <c r="C238" s="331">
        <f t="shared" ref="C238:AH238" si="149">C217-C198</f>
        <v>0</v>
      </c>
      <c r="D238" s="331">
        <f t="shared" si="149"/>
        <v>189.0835244324353</v>
      </c>
      <c r="E238" s="331">
        <f t="shared" si="149"/>
        <v>-913.86927333571111</v>
      </c>
      <c r="F238" s="331">
        <f t="shared" si="149"/>
        <v>-582.17180755007394</v>
      </c>
      <c r="G238" s="331">
        <f t="shared" si="149"/>
        <v>328.97285701915462</v>
      </c>
      <c r="H238" s="402">
        <f t="shared" si="149"/>
        <v>0</v>
      </c>
      <c r="I238" s="14">
        <f t="shared" si="149"/>
        <v>-431.68451501353047</v>
      </c>
      <c r="J238" s="14">
        <f t="shared" si="149"/>
        <v>-359.25228329068341</v>
      </c>
      <c r="K238" s="14">
        <f t="shared" si="149"/>
        <v>-340.78723627175896</v>
      </c>
      <c r="L238" s="14">
        <f t="shared" si="149"/>
        <v>-173.97889853949346</v>
      </c>
      <c r="M238" s="14">
        <f t="shared" si="149"/>
        <v>-77.871745377286061</v>
      </c>
      <c r="N238" s="187">
        <f t="shared" si="149"/>
        <v>0</v>
      </c>
      <c r="O238" s="14">
        <f t="shared" si="149"/>
        <v>54.315500776841873</v>
      </c>
      <c r="P238" s="14">
        <f t="shared" si="149"/>
        <v>115.37394963849511</v>
      </c>
      <c r="Q238" s="14">
        <f t="shared" si="149"/>
        <v>136.87407751791943</v>
      </c>
      <c r="R238" s="14">
        <f t="shared" si="149"/>
        <v>96.132977448145539</v>
      </c>
      <c r="S238" s="14">
        <f t="shared" si="149"/>
        <v>76.415527700773964</v>
      </c>
      <c r="T238" s="14">
        <f t="shared" si="149"/>
        <v>111.39660240516969</v>
      </c>
      <c r="U238" s="14">
        <f t="shared" si="149"/>
        <v>83.952851021707829</v>
      </c>
      <c r="V238" s="14">
        <f t="shared" si="149"/>
        <v>32.538730601016141</v>
      </c>
      <c r="W238" s="14">
        <f t="shared" si="149"/>
        <v>9.1387288563091715</v>
      </c>
      <c r="X238" s="187">
        <f t="shared" si="149"/>
        <v>-0.82790138821110304</v>
      </c>
      <c r="Y238" s="158">
        <f t="shared" si="149"/>
        <v>-52.379140208346143</v>
      </c>
      <c r="Z238" s="158">
        <f t="shared" si="149"/>
        <v>-16.106734091046746</v>
      </c>
      <c r="AA238" s="158">
        <f t="shared" si="149"/>
        <v>-23.182541160922483</v>
      </c>
      <c r="AB238" s="158">
        <f t="shared" si="149"/>
        <v>-49.618928247205986</v>
      </c>
      <c r="AC238" s="158">
        <f t="shared" si="149"/>
        <v>-83.501578795050591</v>
      </c>
      <c r="AD238" s="158">
        <f t="shared" si="149"/>
        <v>-82.712859147017298</v>
      </c>
      <c r="AE238" s="158">
        <f t="shared" si="149"/>
        <v>-56.84492637378753</v>
      </c>
      <c r="AF238" s="158">
        <f t="shared" si="149"/>
        <v>-55.07630993595194</v>
      </c>
      <c r="AG238" s="158">
        <f t="shared" si="149"/>
        <v>-35.170132361123251</v>
      </c>
      <c r="AH238" s="187">
        <f t="shared" si="149"/>
        <v>-1.4123837334245763</v>
      </c>
    </row>
    <row r="239" spans="1:34">
      <c r="A239" t="s">
        <v>422</v>
      </c>
      <c r="C239" s="331">
        <f t="shared" ref="C239:AH239" si="150">C218-C199</f>
        <v>0</v>
      </c>
      <c r="D239" s="331">
        <f t="shared" si="150"/>
        <v>170.17517198919086</v>
      </c>
      <c r="E239" s="331">
        <f t="shared" si="150"/>
        <v>-822.48234600213982</v>
      </c>
      <c r="F239" s="331">
        <f t="shared" si="150"/>
        <v>-523.95462679506636</v>
      </c>
      <c r="G239" s="331">
        <f t="shared" si="150"/>
        <v>296.07557131723843</v>
      </c>
      <c r="H239" s="402">
        <f t="shared" si="150"/>
        <v>0</v>
      </c>
      <c r="I239" s="14">
        <f t="shared" si="150"/>
        <v>-388.51606351217742</v>
      </c>
      <c r="J239" s="14">
        <f t="shared" si="150"/>
        <v>-323.32705496161725</v>
      </c>
      <c r="K239" s="14">
        <f t="shared" si="150"/>
        <v>-306.70851264458179</v>
      </c>
      <c r="L239" s="14">
        <f t="shared" si="150"/>
        <v>-156.58100868554357</v>
      </c>
      <c r="M239" s="14">
        <f t="shared" si="150"/>
        <v>-70.084570839559092</v>
      </c>
      <c r="N239" s="187">
        <f t="shared" si="150"/>
        <v>0</v>
      </c>
      <c r="O239" s="14">
        <f t="shared" si="150"/>
        <v>48.88395069915714</v>
      </c>
      <c r="P239" s="14">
        <f t="shared" si="150"/>
        <v>103.8365546746445</v>
      </c>
      <c r="Q239" s="14">
        <f t="shared" si="150"/>
        <v>123.18666976612622</v>
      </c>
      <c r="R239" s="14">
        <f t="shared" si="150"/>
        <v>86.519679703331349</v>
      </c>
      <c r="S239" s="14">
        <f t="shared" si="150"/>
        <v>68.773974930696568</v>
      </c>
      <c r="T239" s="14">
        <f t="shared" si="150"/>
        <v>100.25694216465126</v>
      </c>
      <c r="U239" s="14">
        <f t="shared" si="150"/>
        <v>75.557565919534682</v>
      </c>
      <c r="V239" s="14">
        <f t="shared" si="150"/>
        <v>29.284857540913436</v>
      </c>
      <c r="W239" s="14">
        <f t="shared" si="150"/>
        <v>8.2248559706786182</v>
      </c>
      <c r="X239" s="187">
        <f t="shared" si="150"/>
        <v>-0.74511124938908324</v>
      </c>
      <c r="Y239" s="158">
        <f t="shared" si="150"/>
        <v>-47.141226187512075</v>
      </c>
      <c r="Z239" s="158">
        <f t="shared" si="150"/>
        <v>-14.496060681942254</v>
      </c>
      <c r="AA239" s="158">
        <f t="shared" si="150"/>
        <v>-20.864287044831144</v>
      </c>
      <c r="AB239" s="158">
        <f t="shared" si="150"/>
        <v>-44.657035422487752</v>
      </c>
      <c r="AC239" s="158">
        <f t="shared" si="150"/>
        <v>-75.151420915544804</v>
      </c>
      <c r="AD239" s="158">
        <f t="shared" si="150"/>
        <v>-74.441573232317751</v>
      </c>
      <c r="AE239" s="158">
        <f t="shared" si="150"/>
        <v>-51.160433736407867</v>
      </c>
      <c r="AF239" s="158">
        <f t="shared" si="150"/>
        <v>-49.5686789423562</v>
      </c>
      <c r="AG239" s="158">
        <f t="shared" si="150"/>
        <v>-31.653119125012381</v>
      </c>
      <c r="AH239" s="187">
        <f t="shared" si="150"/>
        <v>-1.2711453600804816</v>
      </c>
    </row>
    <row r="240" spans="1:34">
      <c r="A240" t="s">
        <v>394</v>
      </c>
      <c r="C240" s="331">
        <f>C219-C200</f>
        <v>2.2990000000004329</v>
      </c>
      <c r="D240" s="331">
        <f t="shared" ref="D240:AH240" si="151">D219-D200+D249+D252</f>
        <v>-225.3823831542104</v>
      </c>
      <c r="E240" s="331">
        <f t="shared" si="151"/>
        <v>1079.1583517597956</v>
      </c>
      <c r="F240" s="331">
        <f t="shared" si="151"/>
        <v>592.90498826581279</v>
      </c>
      <c r="G240" s="331">
        <f t="shared" si="151"/>
        <v>-712.2143590528317</v>
      </c>
      <c r="H240" s="402">
        <f t="shared" si="151"/>
        <v>-0.21526999999923646</v>
      </c>
      <c r="I240" s="14">
        <f t="shared" si="151"/>
        <v>550.06158962629161</v>
      </c>
      <c r="J240" s="14">
        <f t="shared" si="151"/>
        <v>253.84162900068441</v>
      </c>
      <c r="K240" s="14">
        <f t="shared" si="151"/>
        <v>-10.873340789347367</v>
      </c>
      <c r="L240" s="14">
        <f t="shared" si="151"/>
        <v>-497.00036847623051</v>
      </c>
      <c r="M240" s="14">
        <f t="shared" si="151"/>
        <v>-903.44402280093072</v>
      </c>
      <c r="N240" s="187">
        <f t="shared" si="151"/>
        <v>-1372.7513323098583</v>
      </c>
      <c r="O240" s="14">
        <f t="shared" si="151"/>
        <v>-1539.2525957249395</v>
      </c>
      <c r="P240" s="14">
        <f t="shared" si="151"/>
        <v>-1714.3195813338634</v>
      </c>
      <c r="Q240" s="14">
        <f t="shared" si="151"/>
        <v>-1808.2042893163625</v>
      </c>
      <c r="R240" s="14">
        <f t="shared" si="151"/>
        <v>-1787.8527568772151</v>
      </c>
      <c r="S240" s="14">
        <f t="shared" si="151"/>
        <v>-1845.0506628750891</v>
      </c>
      <c r="T240" s="14">
        <f t="shared" si="151"/>
        <v>-1943.9455083122748</v>
      </c>
      <c r="U240" s="14">
        <f t="shared" si="151"/>
        <v>-1965.1852388519646</v>
      </c>
      <c r="V240" s="14">
        <f t="shared" si="151"/>
        <v>-1952.8069026662274</v>
      </c>
      <c r="W240" s="14">
        <f t="shared" si="151"/>
        <v>-2022.753586680145</v>
      </c>
      <c r="X240" s="187">
        <f t="shared" si="151"/>
        <v>-2082.7544146496862</v>
      </c>
      <c r="Y240" s="158">
        <f t="shared" si="151"/>
        <v>-2064.1279959400745</v>
      </c>
      <c r="Z240" s="158">
        <f t="shared" si="151"/>
        <v>-2194.4792902937406</v>
      </c>
      <c r="AA240" s="158">
        <f t="shared" si="151"/>
        <v>-2251.251123580264</v>
      </c>
      <c r="AB240" s="158">
        <f t="shared" si="151"/>
        <v>-2275.7935925479087</v>
      </c>
      <c r="AC240" s="158">
        <f t="shared" si="151"/>
        <v>-2310.2329378132304</v>
      </c>
      <c r="AD240" s="158">
        <f t="shared" si="151"/>
        <v>-2260.1348081689302</v>
      </c>
      <c r="AE240" s="158">
        <f t="shared" si="151"/>
        <v>-2245.286350643647</v>
      </c>
      <c r="AF240" s="158">
        <f t="shared" si="151"/>
        <v>-2297.8209829554648</v>
      </c>
      <c r="AG240" s="158">
        <f t="shared" si="151"/>
        <v>-2429.5926125639271</v>
      </c>
      <c r="AH240" s="187">
        <f t="shared" si="151"/>
        <v>-2554.4854968827731</v>
      </c>
    </row>
    <row r="241" spans="1:34">
      <c r="A241" t="s">
        <v>423</v>
      </c>
      <c r="C241" s="331">
        <f>C220-C201</f>
        <v>1.2100000000000364</v>
      </c>
      <c r="D241" s="331">
        <f t="shared" ref="D241:AH241" si="152">D220-D201+D250+D253</f>
        <v>-118.62230692326852</v>
      </c>
      <c r="E241" s="331">
        <f t="shared" si="152"/>
        <v>567.97807987357646</v>
      </c>
      <c r="F241" s="331">
        <f t="shared" si="152"/>
        <v>312.05525698200654</v>
      </c>
      <c r="G241" s="331">
        <f t="shared" si="152"/>
        <v>-374.8496626593851</v>
      </c>
      <c r="H241" s="402">
        <f t="shared" si="152"/>
        <v>-0.11329999999952634</v>
      </c>
      <c r="I241" s="14">
        <f t="shared" si="152"/>
        <v>289.50609980331137</v>
      </c>
      <c r="J241" s="14">
        <f t="shared" si="152"/>
        <v>133.60085736878136</v>
      </c>
      <c r="K241" s="14">
        <f t="shared" si="152"/>
        <v>-5.7228109417617361</v>
      </c>
      <c r="L241" s="14">
        <f t="shared" si="152"/>
        <v>-261.57914130327936</v>
      </c>
      <c r="M241" s="14">
        <f t="shared" si="152"/>
        <v>-475.49685410575307</v>
      </c>
      <c r="N241" s="187">
        <f t="shared" si="152"/>
        <v>-722.5007012157148</v>
      </c>
      <c r="O241" s="14">
        <f t="shared" si="152"/>
        <v>-810.13294511838922</v>
      </c>
      <c r="P241" s="14">
        <f t="shared" si="152"/>
        <v>-902.27346385992792</v>
      </c>
      <c r="Q241" s="14">
        <f t="shared" si="152"/>
        <v>-951.6864680612432</v>
      </c>
      <c r="R241" s="14">
        <f t="shared" si="152"/>
        <v>-940.97513519853464</v>
      </c>
      <c r="S241" s="14">
        <f t="shared" si="152"/>
        <v>-971.07929625004681</v>
      </c>
      <c r="T241" s="14">
        <f t="shared" si="152"/>
        <v>-1023.1292149011974</v>
      </c>
      <c r="U241" s="14">
        <f t="shared" si="152"/>
        <v>-1034.3080204484022</v>
      </c>
      <c r="V241" s="14">
        <f t="shared" si="152"/>
        <v>-1027.7931066664355</v>
      </c>
      <c r="W241" s="14">
        <f t="shared" si="152"/>
        <v>-1064.607150884287</v>
      </c>
      <c r="X241" s="187">
        <f t="shared" si="152"/>
        <v>-1096.1865340261504</v>
      </c>
      <c r="Y241" s="158">
        <f t="shared" si="152"/>
        <v>-1086.3831557579338</v>
      </c>
      <c r="Z241" s="158">
        <f t="shared" si="152"/>
        <v>-1154.9891001546002</v>
      </c>
      <c r="AA241" s="158">
        <f t="shared" si="152"/>
        <v>-1184.8690124106652</v>
      </c>
      <c r="AB241" s="158">
        <f t="shared" si="152"/>
        <v>-1197.786101341005</v>
      </c>
      <c r="AC241" s="158">
        <f t="shared" si="152"/>
        <v>-1215.9120725332791</v>
      </c>
      <c r="AD241" s="158">
        <f t="shared" si="152"/>
        <v>-1189.5446358783838</v>
      </c>
      <c r="AE241" s="158">
        <f t="shared" si="152"/>
        <v>-1181.7296582334984</v>
      </c>
      <c r="AF241" s="158">
        <f t="shared" si="152"/>
        <v>-1209.3794647134023</v>
      </c>
      <c r="AG241" s="158">
        <f t="shared" si="152"/>
        <v>-1278.7329539810146</v>
      </c>
      <c r="AH241" s="187">
        <f t="shared" si="152"/>
        <v>-1344.4660509909334</v>
      </c>
    </row>
    <row r="242" spans="1:34">
      <c r="A242" t="s">
        <v>424</v>
      </c>
      <c r="C242" s="331">
        <f>C221-C202</f>
        <v>1.0890000000001692</v>
      </c>
      <c r="D242" s="331">
        <f t="shared" ref="D242:AH242" si="153">D221-D202+D251+D254</f>
        <v>-106.76007623094165</v>
      </c>
      <c r="E242" s="331">
        <f t="shared" si="153"/>
        <v>511.18027188621886</v>
      </c>
      <c r="F242" s="331">
        <f t="shared" si="153"/>
        <v>280.84973128380602</v>
      </c>
      <c r="G242" s="331">
        <f t="shared" si="153"/>
        <v>-337.36469639344637</v>
      </c>
      <c r="H242" s="402">
        <f t="shared" si="153"/>
        <v>-0.10196999999971013</v>
      </c>
      <c r="I242" s="14">
        <f t="shared" si="153"/>
        <v>260.55548982298023</v>
      </c>
      <c r="J242" s="14">
        <f t="shared" si="153"/>
        <v>120.24077163190304</v>
      </c>
      <c r="K242" s="14">
        <f t="shared" si="153"/>
        <v>-5.1505298475854033</v>
      </c>
      <c r="L242" s="14">
        <f t="shared" si="153"/>
        <v>-235.42122717295115</v>
      </c>
      <c r="M242" s="14">
        <f t="shared" si="153"/>
        <v>-427.94716869517788</v>
      </c>
      <c r="N242" s="187">
        <f t="shared" si="153"/>
        <v>-650.25063109414327</v>
      </c>
      <c r="O242" s="14">
        <f t="shared" si="153"/>
        <v>-729.11965060655007</v>
      </c>
      <c r="P242" s="14">
        <f t="shared" si="153"/>
        <v>-812.04611747393528</v>
      </c>
      <c r="Q242" s="14">
        <f t="shared" si="153"/>
        <v>-856.51782125511863</v>
      </c>
      <c r="R242" s="14">
        <f t="shared" si="153"/>
        <v>-846.87762167868118</v>
      </c>
      <c r="S242" s="14">
        <f t="shared" si="153"/>
        <v>-873.97136662504226</v>
      </c>
      <c r="T242" s="14">
        <f t="shared" si="153"/>
        <v>-920.8162934110776</v>
      </c>
      <c r="U242" s="14">
        <f t="shared" si="153"/>
        <v>-930.87721840356176</v>
      </c>
      <c r="V242" s="14">
        <f t="shared" si="153"/>
        <v>-925.01379599979191</v>
      </c>
      <c r="W242" s="14">
        <f t="shared" si="153"/>
        <v>-958.146435795858</v>
      </c>
      <c r="X242" s="187">
        <f t="shared" si="153"/>
        <v>-986.56788062353576</v>
      </c>
      <c r="Y242" s="158">
        <f t="shared" si="153"/>
        <v>-977.74484018214025</v>
      </c>
      <c r="Z242" s="158">
        <f t="shared" si="153"/>
        <v>-1039.4901901391404</v>
      </c>
      <c r="AA242" s="158">
        <f t="shared" si="153"/>
        <v>-1066.3821111695988</v>
      </c>
      <c r="AB242" s="158">
        <f t="shared" si="153"/>
        <v>-1078.0074912069042</v>
      </c>
      <c r="AC242" s="158">
        <f t="shared" si="153"/>
        <v>-1094.3208652799512</v>
      </c>
      <c r="AD242" s="158">
        <f t="shared" si="153"/>
        <v>-1070.590172290546</v>
      </c>
      <c r="AE242" s="158">
        <f t="shared" si="153"/>
        <v>-1063.5566924101483</v>
      </c>
      <c r="AF242" s="158">
        <f t="shared" si="153"/>
        <v>-1088.4415182420626</v>
      </c>
      <c r="AG242" s="158">
        <f t="shared" si="153"/>
        <v>-1150.8596585829127</v>
      </c>
      <c r="AH242" s="187">
        <f t="shared" si="153"/>
        <v>-1210.01944589184</v>
      </c>
    </row>
    <row r="243" spans="1:34" s="1" customFormat="1">
      <c r="A243" s="1" t="s">
        <v>405</v>
      </c>
      <c r="B243" s="13"/>
      <c r="C243" s="341">
        <f>C222-C203</f>
        <v>2.2987299999986135</v>
      </c>
      <c r="D243" s="341">
        <f t="shared" ref="D243:AH243" si="154">D222-D203+D249+D252</f>
        <v>133.87639506854612</v>
      </c>
      <c r="E243" s="341">
        <f t="shared" si="154"/>
        <v>-363.06409872634322</v>
      </c>
      <c r="F243" s="341">
        <f t="shared" si="154"/>
        <v>-56.927660904155346</v>
      </c>
      <c r="G243" s="341">
        <f t="shared" si="154"/>
        <v>417.31116716763427</v>
      </c>
      <c r="H243" s="405">
        <f t="shared" si="154"/>
        <v>-0.21553999999741791</v>
      </c>
      <c r="I243" s="15">
        <f t="shared" si="154"/>
        <v>-166.96957025420852</v>
      </c>
      <c r="J243" s="15">
        <f t="shared" si="154"/>
        <v>-15.592709691558412</v>
      </c>
      <c r="K243" s="15">
        <f t="shared" si="154"/>
        <v>136.59044124216962</v>
      </c>
      <c r="L243" s="15">
        <f t="shared" si="154"/>
        <v>355.36569634112311</v>
      </c>
      <c r="M243" s="15">
        <f t="shared" si="154"/>
        <v>570.62779404966204</v>
      </c>
      <c r="N243" s="190">
        <f t="shared" si="154"/>
        <v>842.33812432259947</v>
      </c>
      <c r="O243" s="15">
        <f t="shared" si="154"/>
        <v>914.85581435461427</v>
      </c>
      <c r="P243" s="15">
        <f t="shared" si="154"/>
        <v>994.05528614198556</v>
      </c>
      <c r="Q243" s="15">
        <f t="shared" si="154"/>
        <v>1043.7140162775286</v>
      </c>
      <c r="R243" s="15">
        <f t="shared" si="154"/>
        <v>1043.7153393024346</v>
      </c>
      <c r="S243" s="15">
        <f t="shared" si="154"/>
        <v>1078.8414086150406</v>
      </c>
      <c r="T243" s="15">
        <f t="shared" si="154"/>
        <v>1120.5328661055137</v>
      </c>
      <c r="U243" s="15">
        <f t="shared" si="154"/>
        <v>1140.1984855015035</v>
      </c>
      <c r="V243" s="15">
        <f t="shared" si="154"/>
        <v>1150.1217341398224</v>
      </c>
      <c r="W243" s="15">
        <f t="shared" si="154"/>
        <v>1194.6074614930403</v>
      </c>
      <c r="X243" s="190">
        <f t="shared" si="154"/>
        <v>1232.7266141794607</v>
      </c>
      <c r="Y243" s="130">
        <f t="shared" si="154"/>
        <v>1239.520478340979</v>
      </c>
      <c r="Z243" s="130">
        <f t="shared" si="154"/>
        <v>1293.4206094043075</v>
      </c>
      <c r="AA243" s="130">
        <f t="shared" si="154"/>
        <v>1330.1862233946958</v>
      </c>
      <c r="AB243" s="130">
        <f t="shared" si="154"/>
        <v>1351.1469118193709</v>
      </c>
      <c r="AC243" s="130">
        <f t="shared" si="154"/>
        <v>1377.2841738758143</v>
      </c>
      <c r="AD243" s="130">
        <f t="shared" si="154"/>
        <v>1353.2687015036208</v>
      </c>
      <c r="AE243" s="130">
        <f t="shared" si="154"/>
        <v>1333.3223773295831</v>
      </c>
      <c r="AF243" s="130">
        <f t="shared" si="154"/>
        <v>1363.1070258172476</v>
      </c>
      <c r="AG243" s="130">
        <f t="shared" si="154"/>
        <v>1431.2478998939259</v>
      </c>
      <c r="AH243" s="190">
        <f t="shared" si="154"/>
        <v>1491.7821095309337</v>
      </c>
    </row>
    <row r="244" spans="1:34">
      <c r="A244" t="s">
        <v>445</v>
      </c>
      <c r="C244" s="331"/>
      <c r="D244" s="331">
        <f>D231+D234</f>
        <v>8.1801127635117155E-5</v>
      </c>
      <c r="E244" s="331">
        <f t="shared" ref="E244:N244" si="155">E231+E234</f>
        <v>294.12916885170762</v>
      </c>
      <c r="F244" s="331">
        <f t="shared" si="155"/>
        <v>456.29378517517307</v>
      </c>
      <c r="G244" s="331">
        <f t="shared" si="155"/>
        <v>504.47709788406974</v>
      </c>
      <c r="H244" s="402">
        <f t="shared" si="155"/>
        <v>-2.7000000045518391E-4</v>
      </c>
      <c r="I244" s="14">
        <f t="shared" si="155"/>
        <v>103.16941864521095</v>
      </c>
      <c r="J244" s="14">
        <f t="shared" si="155"/>
        <v>413.14499956005784</v>
      </c>
      <c r="K244" s="14">
        <f t="shared" si="155"/>
        <v>794.95953094785273</v>
      </c>
      <c r="L244" s="14">
        <f t="shared" si="155"/>
        <v>1182.9259720423902</v>
      </c>
      <c r="M244" s="14">
        <f t="shared" si="155"/>
        <v>1622.0281330674388</v>
      </c>
      <c r="N244" s="187">
        <f t="shared" si="155"/>
        <v>2215.0894566324578</v>
      </c>
      <c r="O244" s="14">
        <f>O231+O234</f>
        <v>2350.9089586035589</v>
      </c>
      <c r="P244" s="14">
        <f t="shared" ref="P244:AH244" si="156">P231+P234</f>
        <v>2489.1643631627103</v>
      </c>
      <c r="Q244" s="14">
        <f t="shared" si="156"/>
        <v>2591.8575583098464</v>
      </c>
      <c r="R244" s="14">
        <f t="shared" si="156"/>
        <v>2648.9154390281697</v>
      </c>
      <c r="S244" s="14">
        <f t="shared" si="156"/>
        <v>2778.7025688586673</v>
      </c>
      <c r="T244" s="14">
        <f t="shared" si="156"/>
        <v>2852.8248298479707</v>
      </c>
      <c r="U244" s="14">
        <f t="shared" si="156"/>
        <v>2945.8733074122292</v>
      </c>
      <c r="V244" s="14">
        <f t="shared" si="156"/>
        <v>3041.1050486641248</v>
      </c>
      <c r="W244" s="14">
        <f t="shared" si="156"/>
        <v>3199.9974633461916</v>
      </c>
      <c r="X244" s="187">
        <f t="shared" si="156"/>
        <v>3317.0540414667457</v>
      </c>
      <c r="Y244" s="158">
        <f t="shared" si="156"/>
        <v>3403.1688406769049</v>
      </c>
      <c r="Z244" s="158">
        <f t="shared" si="156"/>
        <v>3518.5026944710385</v>
      </c>
      <c r="AA244" s="158">
        <f t="shared" si="156"/>
        <v>3625.484175180718</v>
      </c>
      <c r="AB244" s="158">
        <f t="shared" si="156"/>
        <v>3721.2164680369669</v>
      </c>
      <c r="AC244" s="158">
        <f t="shared" si="156"/>
        <v>3846.1701113996419</v>
      </c>
      <c r="AD244" s="158">
        <f t="shared" si="156"/>
        <v>3770.5579420518879</v>
      </c>
      <c r="AE244" s="158">
        <f t="shared" si="156"/>
        <v>3686.6140880834282</v>
      </c>
      <c r="AF244" s="158">
        <f t="shared" si="156"/>
        <v>3765.5729976510193</v>
      </c>
      <c r="AG244" s="158">
        <f t="shared" si="156"/>
        <v>3927.6637639439923</v>
      </c>
      <c r="AH244" s="187">
        <f t="shared" si="156"/>
        <v>4048.9511355072109</v>
      </c>
    </row>
    <row r="245" spans="1:34">
      <c r="A245" t="s">
        <v>446</v>
      </c>
      <c r="D245" s="331">
        <f>D231+D234+D237</f>
        <v>359.25877822275561</v>
      </c>
      <c r="E245" s="331">
        <f t="shared" ref="E245:N245" si="157">E231+E234+E237</f>
        <v>-1442.2224504861415</v>
      </c>
      <c r="F245" s="331">
        <f t="shared" si="157"/>
        <v>-649.83264916996723</v>
      </c>
      <c r="G245" s="331">
        <f t="shared" si="157"/>
        <v>1129.525526220461</v>
      </c>
      <c r="H245" s="402">
        <f t="shared" si="157"/>
        <v>-2.7000000045518391E-4</v>
      </c>
      <c r="I245" s="14">
        <f t="shared" si="157"/>
        <v>-717.03115988049876</v>
      </c>
      <c r="J245" s="14">
        <f t="shared" si="157"/>
        <v>-269.43433869224282</v>
      </c>
      <c r="K245" s="14">
        <f t="shared" si="157"/>
        <v>147.4637820315138</v>
      </c>
      <c r="L245" s="14">
        <f t="shared" si="157"/>
        <v>852.36606481735316</v>
      </c>
      <c r="M245" s="14">
        <f t="shared" si="157"/>
        <v>1474.07181685059</v>
      </c>
      <c r="N245" s="187">
        <f t="shared" si="157"/>
        <v>2215.0894566324578</v>
      </c>
      <c r="O245" s="14">
        <f>O231+O234+O237</f>
        <v>2454.1084100795597</v>
      </c>
      <c r="P245" s="14">
        <f t="shared" ref="P245:AH245" si="158">P231+P234+P237</f>
        <v>2708.3748674758517</v>
      </c>
      <c r="Q245" s="14">
        <f t="shared" si="158"/>
        <v>2851.9183055938884</v>
      </c>
      <c r="R245" s="14">
        <f t="shared" si="158"/>
        <v>2831.5680961796465</v>
      </c>
      <c r="S245" s="14">
        <f t="shared" si="158"/>
        <v>2923.8920714901342</v>
      </c>
      <c r="T245" s="14">
        <f t="shared" si="158"/>
        <v>3064.478374417788</v>
      </c>
      <c r="U245" s="14">
        <f t="shared" si="158"/>
        <v>3105.3837243534699</v>
      </c>
      <c r="V245" s="14">
        <f t="shared" si="158"/>
        <v>3102.9286368060525</v>
      </c>
      <c r="W245" s="14">
        <f t="shared" si="158"/>
        <v>3217.3610481731794</v>
      </c>
      <c r="X245" s="187">
        <f t="shared" si="158"/>
        <v>3315.4810288291455</v>
      </c>
      <c r="Y245" s="158">
        <f t="shared" si="158"/>
        <v>3303.6484742810485</v>
      </c>
      <c r="Z245" s="158">
        <f t="shared" si="158"/>
        <v>3487.8998996980495</v>
      </c>
      <c r="AA245" s="158">
        <f t="shared" si="158"/>
        <v>3581.4373469749626</v>
      </c>
      <c r="AB245" s="158">
        <f t="shared" si="158"/>
        <v>3626.9405043672732</v>
      </c>
      <c r="AC245" s="158">
        <f t="shared" si="158"/>
        <v>3687.5171116890447</v>
      </c>
      <c r="AD245" s="158">
        <f t="shared" si="158"/>
        <v>3613.4035096725529</v>
      </c>
      <c r="AE245" s="158">
        <f t="shared" si="158"/>
        <v>3578.6087279732346</v>
      </c>
      <c r="AF245" s="158">
        <f t="shared" si="158"/>
        <v>3660.9280087727129</v>
      </c>
      <c r="AG245" s="158">
        <f t="shared" si="158"/>
        <v>3860.8405124578549</v>
      </c>
      <c r="AH245" s="187">
        <f t="shared" si="158"/>
        <v>4046.2676064137058</v>
      </c>
    </row>
    <row r="246" spans="1:34" s="1" customFormat="1">
      <c r="A246" s="1" t="s">
        <v>449</v>
      </c>
      <c r="B246" s="13"/>
      <c r="C246" s="328"/>
      <c r="D246" s="341">
        <f>D243</f>
        <v>133.87639506854612</v>
      </c>
      <c r="E246" s="341">
        <f>D246+E243</f>
        <v>-229.1877036577971</v>
      </c>
      <c r="F246" s="341">
        <f>E246+F243</f>
        <v>-286.11536456195245</v>
      </c>
      <c r="G246" s="341">
        <f>F246+G243</f>
        <v>131.19580260568182</v>
      </c>
      <c r="H246" s="405"/>
      <c r="I246" s="15">
        <f t="shared" ref="I246:X246" si="159">H246+I243</f>
        <v>-166.96957025420852</v>
      </c>
      <c r="J246" s="15">
        <f t="shared" si="159"/>
        <v>-182.56227994576693</v>
      </c>
      <c r="K246" s="15">
        <f t="shared" si="159"/>
        <v>-45.971838703597314</v>
      </c>
      <c r="L246" s="15">
        <f t="shared" si="159"/>
        <v>309.3938576375258</v>
      </c>
      <c r="M246" s="15">
        <f t="shared" si="159"/>
        <v>880.02165168718784</v>
      </c>
      <c r="N246" s="190">
        <f t="shared" si="159"/>
        <v>1722.3597760097873</v>
      </c>
      <c r="O246" s="15">
        <f t="shared" si="159"/>
        <v>2637.2155903644016</v>
      </c>
      <c r="P246" s="15">
        <f t="shared" si="159"/>
        <v>3631.2708765063871</v>
      </c>
      <c r="Q246" s="15">
        <f t="shared" si="159"/>
        <v>4674.9848927839157</v>
      </c>
      <c r="R246" s="15">
        <f t="shared" si="159"/>
        <v>5718.7002320863503</v>
      </c>
      <c r="S246" s="15">
        <f t="shared" si="159"/>
        <v>6797.5416407013909</v>
      </c>
      <c r="T246" s="15">
        <f t="shared" si="159"/>
        <v>7918.0745068069045</v>
      </c>
      <c r="U246" s="15">
        <f t="shared" si="159"/>
        <v>9058.272992308408</v>
      </c>
      <c r="V246" s="15">
        <f t="shared" si="159"/>
        <v>10208.39472644823</v>
      </c>
      <c r="W246" s="15">
        <f t="shared" si="159"/>
        <v>11403.002187941271</v>
      </c>
      <c r="X246" s="190">
        <f t="shared" si="159"/>
        <v>12635.728802120731</v>
      </c>
      <c r="Y246" s="130">
        <f t="shared" ref="Y246:AH246" si="160">X246+Y243</f>
        <v>13875.24928046171</v>
      </c>
      <c r="Z246" s="130">
        <f t="shared" si="160"/>
        <v>15168.669889866018</v>
      </c>
      <c r="AA246" s="130">
        <f t="shared" si="160"/>
        <v>16498.856113260714</v>
      </c>
      <c r="AB246" s="130">
        <f t="shared" si="160"/>
        <v>17850.003025080085</v>
      </c>
      <c r="AC246" s="130">
        <f t="shared" si="160"/>
        <v>19227.287198955899</v>
      </c>
      <c r="AD246" s="130">
        <f t="shared" si="160"/>
        <v>20580.55590045952</v>
      </c>
      <c r="AE246" s="130">
        <f t="shared" si="160"/>
        <v>21913.878277789103</v>
      </c>
      <c r="AF246" s="130">
        <f t="shared" si="160"/>
        <v>23276.98530360635</v>
      </c>
      <c r="AG246" s="130">
        <f t="shared" si="160"/>
        <v>24708.233203500276</v>
      </c>
      <c r="AH246" s="190">
        <f t="shared" si="160"/>
        <v>26200.01531303121</v>
      </c>
    </row>
    <row r="247" spans="1:34">
      <c r="A247" t="s">
        <v>458</v>
      </c>
      <c r="D247" s="343" t="b">
        <f t="shared" ref="D247:AH247" si="161">IF(D185-D246&lt;1,TRUE,FALSE)</f>
        <v>1</v>
      </c>
      <c r="E247" s="343" t="b">
        <f t="shared" si="161"/>
        <v>1</v>
      </c>
      <c r="F247" s="343" t="b">
        <f t="shared" si="161"/>
        <v>1</v>
      </c>
      <c r="G247" s="343" t="b">
        <f t="shared" si="161"/>
        <v>1</v>
      </c>
      <c r="H247" s="408"/>
      <c r="I247" s="133" t="b">
        <f t="shared" si="161"/>
        <v>1</v>
      </c>
      <c r="J247" s="133" t="b">
        <f t="shared" si="161"/>
        <v>1</v>
      </c>
      <c r="K247" s="133" t="b">
        <f t="shared" si="161"/>
        <v>1</v>
      </c>
      <c r="L247" s="133" t="b">
        <f t="shared" si="161"/>
        <v>1</v>
      </c>
      <c r="M247" s="133" t="b">
        <f t="shared" si="161"/>
        <v>1</v>
      </c>
      <c r="N247" s="194" t="b">
        <f t="shared" si="161"/>
        <v>1</v>
      </c>
      <c r="O247" s="133" t="b">
        <f t="shared" si="161"/>
        <v>1</v>
      </c>
      <c r="P247" s="133" t="b">
        <f t="shared" si="161"/>
        <v>1</v>
      </c>
      <c r="Q247" s="133" t="b">
        <f t="shared" si="161"/>
        <v>1</v>
      </c>
      <c r="R247" s="133" t="b">
        <f t="shared" si="161"/>
        <v>1</v>
      </c>
      <c r="S247" s="133" t="b">
        <f t="shared" si="161"/>
        <v>1</v>
      </c>
      <c r="T247" s="133" t="b">
        <f t="shared" si="161"/>
        <v>1</v>
      </c>
      <c r="U247" s="133" t="b">
        <f t="shared" si="161"/>
        <v>1</v>
      </c>
      <c r="V247" s="133" t="b">
        <f t="shared" si="161"/>
        <v>1</v>
      </c>
      <c r="W247" s="133" t="b">
        <f t="shared" si="161"/>
        <v>1</v>
      </c>
      <c r="X247" s="194" t="b">
        <f t="shared" si="161"/>
        <v>1</v>
      </c>
      <c r="Y247" s="290" t="b">
        <f t="shared" si="161"/>
        <v>1</v>
      </c>
      <c r="Z247" s="290" t="b">
        <f t="shared" si="161"/>
        <v>1</v>
      </c>
      <c r="AA247" s="290" t="b">
        <f t="shared" si="161"/>
        <v>1</v>
      </c>
      <c r="AB247" s="290" t="b">
        <f t="shared" si="161"/>
        <v>1</v>
      </c>
      <c r="AC247" s="290" t="b">
        <f t="shared" si="161"/>
        <v>1</v>
      </c>
      <c r="AD247" s="290" t="b">
        <f t="shared" si="161"/>
        <v>1</v>
      </c>
      <c r="AE247" s="290" t="b">
        <f t="shared" si="161"/>
        <v>1</v>
      </c>
      <c r="AF247" s="290" t="b">
        <f t="shared" si="161"/>
        <v>1</v>
      </c>
      <c r="AG247" s="290" t="b">
        <f t="shared" si="161"/>
        <v>1</v>
      </c>
      <c r="AH247" s="194" t="b">
        <f t="shared" si="161"/>
        <v>1</v>
      </c>
    </row>
    <row r="248" spans="1:34">
      <c r="A248" t="s">
        <v>439</v>
      </c>
    </row>
    <row r="249" spans="1:34" s="1" customFormat="1">
      <c r="A249" s="1" t="s">
        <v>440</v>
      </c>
      <c r="B249" s="13"/>
      <c r="C249" s="328"/>
      <c r="D249" s="341">
        <f>D$29*(EIA_electricity_aeo2014!F$60) * Inputs!$M$60</f>
        <v>0</v>
      </c>
      <c r="E249" s="341">
        <f>E$29*(EIA_electricity_aeo2014!G$60) * Inputs!$M$60</f>
        <v>0</v>
      </c>
      <c r="F249" s="341">
        <f>F$29*(EIA_electricity_aeo2014!H$60) * Inputs!$M$60</f>
        <v>0</v>
      </c>
      <c r="G249" s="341">
        <f>G$29*(EIA_electricity_aeo2014!I$60) * Inputs!$M$60</f>
        <v>0</v>
      </c>
      <c r="H249" s="405">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442</v>
      </c>
      <c r="D250" s="331">
        <f>D$29*(EIA_electricity_aeo2014!F$60) * Inputs!$C$60</f>
        <v>0</v>
      </c>
      <c r="E250" s="331">
        <f>E$29*(EIA_electricity_aeo2014!G$60) * Inputs!$C$60</f>
        <v>0</v>
      </c>
      <c r="F250" s="331">
        <f>F$29*(EIA_electricity_aeo2014!H$60) * Inputs!$C$60</f>
        <v>0</v>
      </c>
      <c r="G250" s="331">
        <f>G$29*(EIA_electricity_aeo2014!I$60) * Inputs!$C$60</f>
        <v>0</v>
      </c>
      <c r="H250" s="402">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443</v>
      </c>
      <c r="D251" s="331">
        <f>D250*Inputs!$H$60</f>
        <v>0</v>
      </c>
      <c r="E251" s="331">
        <f>E250*Inputs!$H$60</f>
        <v>0</v>
      </c>
      <c r="F251" s="331">
        <f>F250*Inputs!$H$60</f>
        <v>0</v>
      </c>
      <c r="G251" s="331">
        <f>G250*Inputs!$H$60</f>
        <v>0</v>
      </c>
      <c r="H251" s="402">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441</v>
      </c>
      <c r="B252" s="13"/>
      <c r="C252" s="328"/>
      <c r="D252" s="341">
        <f>D$29*(1-EIA_electricity_aeo2014!F$60) * Inputs!$M$61</f>
        <v>0</v>
      </c>
      <c r="E252" s="341">
        <f>E$29*(1-EIA_electricity_aeo2014!G$60) * Inputs!$M$61</f>
        <v>0</v>
      </c>
      <c r="F252" s="341">
        <f>F$29*(1-EIA_electricity_aeo2014!H$60) * Inputs!$M$61</f>
        <v>0</v>
      </c>
      <c r="G252" s="341">
        <f>G$29*(1-EIA_electricity_aeo2014!I$60) * Inputs!$M$61</f>
        <v>0</v>
      </c>
      <c r="H252" s="405">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442</v>
      </c>
      <c r="D253" s="331">
        <f>D$29*(1-EIA_electricity_aeo2014!F$60) * Inputs!$C$61</f>
        <v>0</v>
      </c>
      <c r="E253" s="331">
        <f>E$29*(1-EIA_electricity_aeo2014!G$60) * Inputs!$C$61</f>
        <v>0</v>
      </c>
      <c r="F253" s="331">
        <f>F$29*(1-EIA_electricity_aeo2014!H$60) * Inputs!$C$61</f>
        <v>0</v>
      </c>
      <c r="G253" s="331">
        <f>G$29*(1-EIA_electricity_aeo2014!I$60) * Inputs!$C$61</f>
        <v>0</v>
      </c>
      <c r="H253" s="402">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443</v>
      </c>
      <c r="D254" s="331">
        <f>D253*Inputs!$H$61</f>
        <v>0</v>
      </c>
      <c r="E254" s="331">
        <f>E253*Inputs!$H$61</f>
        <v>0</v>
      </c>
      <c r="F254" s="331">
        <f>F253*Inputs!$H$61</f>
        <v>0</v>
      </c>
      <c r="G254" s="331">
        <f>G253*Inputs!$H$61</f>
        <v>0</v>
      </c>
      <c r="H254" s="402">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C37" activePane="bottomRight" state="frozen"/>
      <selection pane="topRight" activeCell="C1" sqref="C1"/>
      <selection pane="bottomLeft" activeCell="A3" sqref="A3"/>
      <selection pane="bottomRight" activeCell="E13" sqref="E13"/>
    </sheetView>
  </sheetViews>
  <sheetFormatPr baseColWidth="10" defaultColWidth="8.83203125" defaultRowHeight="14" x14ac:dyDescent="0"/>
  <cols>
    <col min="1" max="1" width="25.6640625" bestFit="1" customWidth="1"/>
    <col min="2" max="2" width="5.6640625" style="2" bestFit="1" customWidth="1"/>
    <col min="3" max="3" width="13.33203125" style="327" bestFit="1" customWidth="1"/>
    <col min="4" max="4" width="12.33203125" style="327" customWidth="1"/>
    <col min="5" max="5" width="14.1640625" style="327" customWidth="1"/>
    <col min="6" max="6" width="11.33203125" style="327" bestFit="1" customWidth="1"/>
    <col min="7" max="7" width="14.33203125" style="327"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7" t="s">
        <v>0</v>
      </c>
      <c r="D1" s="327" t="s">
        <v>0</v>
      </c>
      <c r="E1" s="393" t="s">
        <v>0</v>
      </c>
    </row>
    <row r="2" spans="1:34" s="1" customFormat="1">
      <c r="B2" s="2" t="s">
        <v>127</v>
      </c>
      <c r="C2" s="328">
        <v>2009</v>
      </c>
      <c r="D2" s="328">
        <v>2010</v>
      </c>
      <c r="E2" s="328">
        <v>2011</v>
      </c>
      <c r="F2" s="328">
        <v>2012</v>
      </c>
      <c r="G2" s="328">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8"/>
      <c r="D3" s="328"/>
      <c r="E3" s="328"/>
      <c r="F3" s="328"/>
      <c r="G3" s="328"/>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329">
        <f>EIA_electricity_aeo2014!E58 * 1000</f>
        <v>104173</v>
      </c>
      <c r="D4" s="329">
        <f>EIA_electricity_aeo2014!F58 * 1000</f>
        <v>103125.99999999999</v>
      </c>
      <c r="E4" s="329">
        <f>EIA_electricity_aeo2014!G58 * 1000</f>
        <v>115812.75047939325</v>
      </c>
      <c r="F4" s="329">
        <f>EIA_electricity_aeo2014!H58 * 1000</f>
        <v>117478.19843405332</v>
      </c>
      <c r="G4" s="329">
        <f>EIA_electricity_aeo2014!I58 * 1000</f>
        <v>104116.144614042</v>
      </c>
      <c r="H4" s="21">
        <f>EIA_electricity_aeo2014!J58 * 1000</f>
        <v>105672.06241958508</v>
      </c>
      <c r="I4" s="21">
        <f>EIA_electricity_aeo2014!K58 * 1000</f>
        <v>103484.00495338778</v>
      </c>
      <c r="J4" s="21">
        <f>EIA_electricity_aeo2014!L58 * 1000</f>
        <v>105780.62444073515</v>
      </c>
      <c r="K4" s="21">
        <f>EIA_electricity_aeo2014!M58 * 1000</f>
        <v>106988.03984739888</v>
      </c>
      <c r="L4" s="21">
        <f>EIA_electricity_aeo2014!N58 * 1000</f>
        <v>107899.77222836405</v>
      </c>
      <c r="M4" s="21">
        <f>EIA_electricity_aeo2014!O58 * 1000</f>
        <v>108599.6414147646</v>
      </c>
      <c r="N4" s="388">
        <f>EIA_electricity_aeo2014!P58 * 1000</f>
        <v>109133.68334510838</v>
      </c>
      <c r="O4" s="21">
        <f>EIA_electricity_aeo2014!Q58 * 1000</f>
        <v>110984.79299150768</v>
      </c>
      <c r="P4" s="21">
        <f>EIA_electricity_aeo2014!R58 * 1000</f>
        <v>112407.01512100484</v>
      </c>
      <c r="Q4" s="21">
        <f>EIA_electricity_aeo2014!S58 * 1000</f>
        <v>113488.26575893839</v>
      </c>
      <c r="R4" s="21">
        <f>EIA_electricity_aeo2014!T58 * 1000</f>
        <v>114010.42635187863</v>
      </c>
      <c r="S4" s="21">
        <f>EIA_electricity_aeo2014!U58 * 1000</f>
        <v>114737.12367183574</v>
      </c>
      <c r="T4" s="21">
        <f>EIA_electricity_aeo2014!V58 * 1000</f>
        <v>115990.0739747007</v>
      </c>
      <c r="U4" s="21">
        <f>EIA_electricity_aeo2014!W58 * 1000</f>
        <v>116671.36604902388</v>
      </c>
      <c r="V4" s="21">
        <f>EIA_electricity_aeo2014!X58 * 1000</f>
        <v>117134.62350488386</v>
      </c>
      <c r="W4" s="21">
        <f>EIA_electricity_aeo2014!Y58 * 1000</f>
        <v>118520.33029192075</v>
      </c>
      <c r="X4" s="388">
        <f>EIA_electricity_aeo2014!Z58 * 1000</f>
        <v>119409.56331171907</v>
      </c>
      <c r="Y4" s="21">
        <f>EIA_electricity_aeo2014!AA58 * 1000</f>
        <v>119595.99526057656</v>
      </c>
      <c r="Z4" s="21">
        <f>EIA_electricity_aeo2014!AB58 * 1000</f>
        <v>120503.34504553949</v>
      </c>
      <c r="AA4" s="21">
        <f>EIA_electricity_aeo2014!AC58 * 1000</f>
        <v>120991.8862958666</v>
      </c>
      <c r="AB4" s="21">
        <f>EIA_electricity_aeo2014!AD58 * 1000</f>
        <v>121293.28050375541</v>
      </c>
      <c r="AC4" s="21">
        <f>EIA_electricity_aeo2014!AE58 * 1000</f>
        <v>121735.81544148823</v>
      </c>
      <c r="AD4" s="21">
        <f>EIA_electricity_aeo2014!AF58 * 1000</f>
        <v>122315.67057491517</v>
      </c>
      <c r="AE4" s="21">
        <f>EIA_electricity_aeo2014!AG58 * 1000</f>
        <v>123152.77008098048</v>
      </c>
      <c r="AF4" s="21">
        <f>EIA_electricity_aeo2014!AH58 * 1000</f>
        <v>123754.65620947603</v>
      </c>
      <c r="AG4" s="21">
        <f>EIA_electricity_aeo2014!AI58 * 1000</f>
        <v>125068.98250094685</v>
      </c>
      <c r="AH4" s="21">
        <f>EIA_electricity_aeo2014!AJ58 * 1000</f>
        <v>126011.66771328847</v>
      </c>
    </row>
    <row r="5" spans="1:34">
      <c r="A5" s="9" t="s">
        <v>61</v>
      </c>
      <c r="B5" s="34">
        <v>0</v>
      </c>
      <c r="C5" s="330">
        <v>0</v>
      </c>
      <c r="D5" s="330"/>
      <c r="E5" s="330"/>
      <c r="F5" s="330"/>
      <c r="G5" s="330"/>
      <c r="H5" s="3"/>
      <c r="I5" s="3"/>
      <c r="J5" s="3"/>
      <c r="K5" s="3"/>
      <c r="L5" s="3"/>
      <c r="M5" s="3"/>
      <c r="N5" s="388"/>
      <c r="O5" s="3"/>
      <c r="P5" s="3"/>
      <c r="Q5" s="3"/>
      <c r="R5" s="3"/>
      <c r="S5" s="3"/>
      <c r="T5" s="3"/>
      <c r="U5" s="3"/>
      <c r="V5" s="3"/>
      <c r="W5" s="3"/>
      <c r="X5" s="184"/>
    </row>
    <row r="6" spans="1:34">
      <c r="A6" s="9" t="s">
        <v>60</v>
      </c>
      <c r="B6" s="34">
        <v>0</v>
      </c>
      <c r="C6" s="330">
        <v>0</v>
      </c>
      <c r="D6" s="330"/>
      <c r="E6" s="394" t="s">
        <v>0</v>
      </c>
      <c r="F6" s="330"/>
      <c r="G6" s="330"/>
      <c r="H6" s="3"/>
      <c r="I6" s="3"/>
      <c r="J6" s="3"/>
      <c r="K6" s="3"/>
      <c r="L6" s="3"/>
      <c r="M6" s="3"/>
      <c r="N6" s="388"/>
      <c r="O6" s="3"/>
      <c r="P6" s="3"/>
      <c r="Q6" s="3"/>
      <c r="R6" s="3"/>
      <c r="S6" s="3"/>
      <c r="T6" s="3"/>
      <c r="U6" s="3"/>
      <c r="V6" s="3"/>
      <c r="W6" s="3"/>
      <c r="X6" s="184"/>
    </row>
    <row r="7" spans="1:34">
      <c r="A7" s="9" t="s">
        <v>49</v>
      </c>
      <c r="B7" s="34">
        <v>0</v>
      </c>
      <c r="C7" s="330">
        <f>EIA_RE_aeo2014!E73*1000-C15</f>
        <v>72932.990000000005</v>
      </c>
      <c r="D7" s="330">
        <f>EIA_RE_aeo2014!F73*1000-D15</f>
        <v>68287.990000000005</v>
      </c>
      <c r="E7" s="330">
        <f>EIA_RE_aeo2014!G73*1000-E15</f>
        <v>89222.203850000005</v>
      </c>
      <c r="F7" s="330">
        <f>EIA_RE_aeo2014!H73*1000-F15</f>
        <v>83867.005650000006</v>
      </c>
      <c r="G7" s="330">
        <f>EIA_RE_aeo2014!I73*1000-G15</f>
        <v>68972.865950000007</v>
      </c>
      <c r="H7" s="174">
        <f>EIA_RE_aeo2014!J73*1000-H15</f>
        <v>70439.904050000012</v>
      </c>
      <c r="I7" s="174">
        <f>EIA_RE_aeo2014!K73*1000-I15</f>
        <v>71600.368300000002</v>
      </c>
      <c r="J7" s="174">
        <f>EIA_RE_aeo2014!L73*1000-J15</f>
        <v>72864.794099999999</v>
      </c>
      <c r="K7" s="174">
        <f>EIA_RE_aeo2014!M73*1000-K15</f>
        <v>73753.813550000006</v>
      </c>
      <c r="L7" s="174">
        <f>EIA_RE_aeo2014!N73*1000-L15</f>
        <v>73437.598750000005</v>
      </c>
      <c r="M7" s="174">
        <f>EIA_RE_aeo2014!O73*1000-M15</f>
        <v>73437.622950000004</v>
      </c>
      <c r="N7" s="184">
        <f>EIA_RE_aeo2014!P73*1000-N15</f>
        <v>73437.598750000005</v>
      </c>
      <c r="O7" s="174">
        <f>EIA_RE_aeo2014!Q73*1000-O15</f>
        <v>73817.384750000012</v>
      </c>
      <c r="P7" s="174">
        <f>EIA_RE_aeo2014!R73*1000-P15</f>
        <v>73817.360550000012</v>
      </c>
      <c r="Q7" s="174">
        <f>EIA_RE_aeo2014!S73*1000-Q15</f>
        <v>73817.352300000013</v>
      </c>
      <c r="R7" s="174">
        <f>EIA_RE_aeo2014!T73*1000-R15</f>
        <v>73817.352300000013</v>
      </c>
      <c r="S7" s="83">
        <f>EIA_RE_aeo2014!U73*1000-S15</f>
        <v>73817.352300000013</v>
      </c>
      <c r="T7" s="83">
        <f>EIA_RE_aeo2014!V73*1000-T15</f>
        <v>73817.343500000017</v>
      </c>
      <c r="U7" s="83">
        <f>EIA_RE_aeo2014!W73*1000-U15</f>
        <v>73817.343500000017</v>
      </c>
      <c r="V7" s="83">
        <f>EIA_RE_aeo2014!X73*1000-V15</f>
        <v>73817.343500000017</v>
      </c>
      <c r="W7" s="83">
        <f>EIA_RE_aeo2014!Y73*1000-W15</f>
        <v>74263.219700000016</v>
      </c>
      <c r="X7" s="184">
        <f>EIA_RE_aeo2014!Z73*1000-X15</f>
        <v>74263.219700000016</v>
      </c>
      <c r="Y7" s="174">
        <f>EIA_RE_aeo2014!AA73*1000-Y15</f>
        <v>74359.958100000003</v>
      </c>
      <c r="Z7" s="174">
        <f>EIA_RE_aeo2014!AB73*1000-Z15</f>
        <v>74359.95865</v>
      </c>
      <c r="AA7" s="174">
        <f>EIA_RE_aeo2014!AC73*1000-AA15</f>
        <v>74359.95865</v>
      </c>
      <c r="AB7" s="174">
        <f>EIA_RE_aeo2014!AD73*1000-AB15</f>
        <v>74359.95865</v>
      </c>
      <c r="AC7" s="174">
        <f>EIA_RE_aeo2014!AE73*1000-AC15</f>
        <v>74502.30085</v>
      </c>
      <c r="AD7" s="174">
        <f>EIA_RE_aeo2014!AF73*1000-AD15</f>
        <v>74502.325599999996</v>
      </c>
      <c r="AE7" s="174">
        <f>EIA_RE_aeo2014!AG73*1000-AE15</f>
        <v>74502.308550000016</v>
      </c>
      <c r="AF7" s="174">
        <f>EIA_RE_aeo2014!AH73*1000-AF15</f>
        <v>74502.283250000008</v>
      </c>
      <c r="AG7" s="174">
        <f>EIA_RE_aeo2014!AI73*1000-AG15</f>
        <v>74846.099800000011</v>
      </c>
      <c r="AH7" s="174">
        <f>EIA_RE_aeo2014!AJ73*1000-AH15</f>
        <v>74846.092100000009</v>
      </c>
    </row>
    <row r="8" spans="1:34">
      <c r="A8" s="9" t="s">
        <v>59</v>
      </c>
      <c r="B8" s="34">
        <v>0</v>
      </c>
      <c r="C8" s="330">
        <f>EIA_electricity_aeo2014!E52*1000</f>
        <v>6634</v>
      </c>
      <c r="D8" s="330">
        <f>EIA_electricity_aeo2014!F52*1000</f>
        <v>9241</v>
      </c>
      <c r="E8" s="330">
        <f>EIA_electricity_aeo2014!G52*1000</f>
        <v>4806</v>
      </c>
      <c r="F8" s="330">
        <f>EIA_electricity_aeo2014!H52*1000</f>
        <v>9334</v>
      </c>
      <c r="G8" s="330">
        <f>EIA_electricity_aeo2014!I52*1000</f>
        <v>7805.9539999999997</v>
      </c>
      <c r="H8" s="3">
        <f>EIA_electricity_aeo2014!J52*1000</f>
        <v>7875.741</v>
      </c>
      <c r="I8" s="3">
        <f>EIA_electricity_aeo2014!K52*1000</f>
        <v>8114.9930000000004</v>
      </c>
      <c r="J8" s="3">
        <f>EIA_electricity_aeo2014!L52*1000</f>
        <v>8184.7829999999994</v>
      </c>
      <c r="K8" s="3">
        <f>EIA_electricity_aeo2014!M52*1000</f>
        <v>8184.7829999999994</v>
      </c>
      <c r="L8" s="3">
        <f>EIA_electricity_aeo2014!N52*1000</f>
        <v>8184.7829999999994</v>
      </c>
      <c r="M8" s="3">
        <f>EIA_electricity_aeo2014!O52*1000</f>
        <v>8184.7829999999994</v>
      </c>
      <c r="N8" s="388">
        <f>EIA_electricity_aeo2014!P52*1000</f>
        <v>8184.7829999999994</v>
      </c>
      <c r="O8" s="3">
        <f>EIA_electricity_aeo2014!Q52*1000</f>
        <v>8184.7829999999994</v>
      </c>
      <c r="P8" s="3">
        <f>EIA_electricity_aeo2014!R52*1000</f>
        <v>8184.7829999999994</v>
      </c>
      <c r="Q8" s="3">
        <f>EIA_electricity_aeo2014!S52*1000</f>
        <v>8184.7829999999994</v>
      </c>
      <c r="R8" s="3">
        <f>EIA_electricity_aeo2014!T52*1000</f>
        <v>8184.7829999999994</v>
      </c>
      <c r="S8" s="3">
        <f>EIA_electricity_aeo2014!U52*1000</f>
        <v>8184.7829999999994</v>
      </c>
      <c r="T8" s="3">
        <f>EIA_electricity_aeo2014!V52*1000</f>
        <v>8184.7829999999994</v>
      </c>
      <c r="U8" s="3">
        <f>EIA_electricity_aeo2014!W52*1000</f>
        <v>8184.7829999999994</v>
      </c>
      <c r="V8" s="3">
        <f>EIA_electricity_aeo2014!X52*1000</f>
        <v>8184.7829999999994</v>
      </c>
      <c r="W8" s="3">
        <f>EIA_electricity_aeo2014!Y52*1000</f>
        <v>8184.7829999999994</v>
      </c>
      <c r="X8" s="184">
        <f>EIA_electricity_aeo2014!Z52*1000</f>
        <v>8184.7829999999994</v>
      </c>
      <c r="Y8" s="174">
        <f>EIA_electricity_aeo2014!AA52*1000</f>
        <v>8184.7829999999994</v>
      </c>
      <c r="Z8" s="174">
        <f>EIA_electricity_aeo2014!AB52*1000</f>
        <v>8184.7829999999994</v>
      </c>
      <c r="AA8" s="174">
        <f>EIA_electricity_aeo2014!AC52*1000</f>
        <v>8184.7829999999994</v>
      </c>
      <c r="AB8" s="174">
        <f>EIA_electricity_aeo2014!AD52*1000</f>
        <v>8184.7829999999994</v>
      </c>
      <c r="AC8" s="174">
        <f>EIA_electricity_aeo2014!AE52*1000</f>
        <v>8184.7829999999994</v>
      </c>
      <c r="AD8" s="174">
        <f>EIA_electricity_aeo2014!AF52*1000</f>
        <v>8184.7829999999994</v>
      </c>
      <c r="AE8" s="174">
        <f>EIA_electricity_aeo2014!AG52*1000</f>
        <v>8184.7829999999994</v>
      </c>
      <c r="AF8" s="174">
        <f>EIA_electricity_aeo2014!AH52*1000</f>
        <v>8184.7829999999994</v>
      </c>
      <c r="AG8" s="174">
        <f>EIA_electricity_aeo2014!AI52*1000</f>
        <v>8184.7829999999994</v>
      </c>
      <c r="AH8" s="174">
        <f>EIA_electricity_aeo2014!AJ52*1000</f>
        <v>8184.7829999999994</v>
      </c>
    </row>
    <row r="9" spans="1:34">
      <c r="A9" s="9"/>
      <c r="B9" s="34"/>
      <c r="C9" s="330"/>
      <c r="D9" s="330"/>
      <c r="E9" s="330"/>
      <c r="F9" s="330"/>
      <c r="G9" s="330"/>
      <c r="H9" s="118"/>
      <c r="I9" s="118"/>
      <c r="J9" s="118"/>
      <c r="K9" s="118"/>
      <c r="L9" s="118"/>
      <c r="M9" s="118"/>
      <c r="N9" s="388"/>
      <c r="O9" s="118"/>
      <c r="P9" s="118"/>
      <c r="Q9" s="118"/>
      <c r="R9" s="118"/>
      <c r="S9" s="118"/>
      <c r="T9" s="118"/>
      <c r="U9" s="118"/>
      <c r="V9" s="118"/>
      <c r="W9" s="118"/>
      <c r="X9" s="184"/>
    </row>
    <row r="10" spans="1:34" s="20" customFormat="1">
      <c r="A10" s="9" t="s">
        <v>125</v>
      </c>
      <c r="B10" s="35">
        <v>1</v>
      </c>
      <c r="C10" s="330">
        <f>EIA_RE_aeo2014!E76*1000</f>
        <v>1305</v>
      </c>
      <c r="D10" s="330">
        <f>EIA_RE_aeo2014!F76*1000</f>
        <v>1676</v>
      </c>
      <c r="E10" s="330">
        <f>EIA_RE_aeo2014!G76*1000</f>
        <v>1286.610249443733</v>
      </c>
      <c r="F10" s="330">
        <f>EIA_RE_aeo2014!H76*1000</f>
        <v>1245.4835061763697</v>
      </c>
      <c r="G10" s="330">
        <f>EIA_RE_aeo2014!I76*1000</f>
        <v>1224.100721251782</v>
      </c>
      <c r="H10" s="83">
        <f>EIA_RE_aeo2014!J76*1000</f>
        <v>1308.1263927700954</v>
      </c>
      <c r="I10" s="174">
        <f>EIA_RE_aeo2014!K76*1000</f>
        <v>1296.7766049390389</v>
      </c>
      <c r="J10" s="174">
        <f>EIA_RE_aeo2014!L76*1000</f>
        <v>1404.7509758160897</v>
      </c>
      <c r="K10" s="174">
        <f>EIA_RE_aeo2014!M76*1000</f>
        <v>1537.6065670242892</v>
      </c>
      <c r="L10" s="174">
        <f>EIA_RE_aeo2014!N76*1000</f>
        <v>1878.7926778051983</v>
      </c>
      <c r="M10" s="174">
        <f>EIA_RE_aeo2014!O76*1000</f>
        <v>2096.204904538778</v>
      </c>
      <c r="N10" s="184">
        <f>EIA_RE_aeo2014!P76*1000</f>
        <v>2133.2987909524663</v>
      </c>
      <c r="O10" s="174">
        <f>EIA_RE_aeo2014!Q76*1000</f>
        <v>2238.2059185886951</v>
      </c>
      <c r="P10" s="174">
        <f>EIA_RE_aeo2014!R76*1000</f>
        <v>2290.6888706472005</v>
      </c>
      <c r="Q10" s="174">
        <f>EIA_RE_aeo2014!S76*1000</f>
        <v>2328.3596556285679</v>
      </c>
      <c r="R10" s="174">
        <f>EIA_RE_aeo2014!T76*1000</f>
        <v>2406.2656582654331</v>
      </c>
      <c r="S10" s="83">
        <f>EIA_RE_aeo2014!U76*1000</f>
        <v>2436.0386623416875</v>
      </c>
      <c r="T10" s="83">
        <f>EIA_RE_aeo2014!V76*1000</f>
        <v>2575.7217098007554</v>
      </c>
      <c r="U10" s="83">
        <f>EIA_RE_aeo2014!W76*1000</f>
        <v>2628.5869559443486</v>
      </c>
      <c r="V10" s="83">
        <f>EIA_RE_aeo2014!X76*1000</f>
        <v>2650.2018832720255</v>
      </c>
      <c r="W10" s="83">
        <f>EIA_RE_aeo2014!Y76*1000</f>
        <v>2695.314067072432</v>
      </c>
      <c r="X10" s="184">
        <f>EIA_RE_aeo2014!Z76*1000</f>
        <v>2733.4748207003204</v>
      </c>
      <c r="Y10" s="174">
        <f>EIA_RE_aeo2014!AA76*1000</f>
        <v>2780.9785651725565</v>
      </c>
      <c r="Z10" s="174">
        <f>EIA_RE_aeo2014!AB76*1000</f>
        <v>2943.7202681385156</v>
      </c>
      <c r="AA10" s="174">
        <f>EIA_RE_aeo2014!AC76*1000</f>
        <v>2997.1836514100696</v>
      </c>
      <c r="AB10" s="174">
        <f>EIA_RE_aeo2014!AD76*1000</f>
        <v>3065.2601519961127</v>
      </c>
      <c r="AC10" s="174">
        <f>EIA_RE_aeo2014!AE76*1000</f>
        <v>3138.1518787262421</v>
      </c>
      <c r="AD10" s="174">
        <f>EIA_RE_aeo2014!AF76*1000</f>
        <v>3204.9753042556072</v>
      </c>
      <c r="AE10" s="174">
        <f>EIA_RE_aeo2014!AG76*1000</f>
        <v>3342.2243139222796</v>
      </c>
      <c r="AF10" s="174">
        <f>EIA_RE_aeo2014!AH76*1000</f>
        <v>3413.4386883100847</v>
      </c>
      <c r="AG10" s="174">
        <f>EIA_RE_aeo2014!AI76*1000</f>
        <v>3503.4032539874397</v>
      </c>
      <c r="AH10" s="174">
        <f>EIA_RE_aeo2014!AJ76*1000</f>
        <v>3598.1869971689339</v>
      </c>
    </row>
    <row r="11" spans="1:34" s="20" customFormat="1">
      <c r="A11" s="9" t="s">
        <v>50</v>
      </c>
      <c r="B11" s="35">
        <v>1</v>
      </c>
      <c r="C11" s="330">
        <f>EIA_RE_aeo2014!E74*1000</f>
        <v>0</v>
      </c>
      <c r="D11" s="330">
        <f>EIA_RE_aeo2014!F74*1000</f>
        <v>0</v>
      </c>
      <c r="E11" s="330">
        <f>EIA_RE_aeo2014!G74*1000</f>
        <v>1.954E-3</v>
      </c>
      <c r="F11" s="330">
        <f>EIA_RE_aeo2014!H74*1000</f>
        <v>2.032E-3</v>
      </c>
      <c r="G11" s="330">
        <f>EIA_RE_aeo2014!I74*1000</f>
        <v>2.4136749999999997E-3</v>
      </c>
      <c r="H11" s="83">
        <f>EIA_RE_aeo2014!J74*1000</f>
        <v>2.6329220000000002E-3</v>
      </c>
      <c r="I11" s="83">
        <f>EIA_RE_aeo2014!K74*1000</f>
        <v>2.6329220000000002E-3</v>
      </c>
      <c r="J11" s="83">
        <f>EIA_RE_aeo2014!L74*1000</f>
        <v>3.4325479999999997E-3</v>
      </c>
      <c r="K11" s="83">
        <f>EIA_RE_aeo2014!M74*1000</f>
        <v>4.5954889999999995E-3</v>
      </c>
      <c r="L11" s="83">
        <f>EIA_RE_aeo2014!N74*1000</f>
        <v>5.3565990000000001E-3</v>
      </c>
      <c r="M11" s="83">
        <f>EIA_RE_aeo2014!O74*1000</f>
        <v>5.5484929999999998E-3</v>
      </c>
      <c r="N11" s="388">
        <f>EIA_RE_aeo2014!P74*1000</f>
        <v>5.5605940000000003E-3</v>
      </c>
      <c r="O11" s="83">
        <f>EIA_RE_aeo2014!Q74*1000</f>
        <v>5.9600369999999996E-3</v>
      </c>
      <c r="P11" s="83">
        <f>EIA_RE_aeo2014!R74*1000</f>
        <v>6.6367599999999994E-3</v>
      </c>
      <c r="Q11" s="83">
        <f>EIA_RE_aeo2014!S74*1000</f>
        <v>7.4563009999999994E-3</v>
      </c>
      <c r="R11" s="83">
        <f>EIA_RE_aeo2014!T74*1000</f>
        <v>8.3197150000000001E-3</v>
      </c>
      <c r="S11" s="83">
        <f>EIA_RE_aeo2014!U74*1000</f>
        <v>9.0521349999999993E-3</v>
      </c>
      <c r="T11" s="83">
        <f>EIA_RE_aeo2014!V74*1000</f>
        <v>9.9619129999999993E-3</v>
      </c>
      <c r="U11" s="83">
        <f>EIA_RE_aeo2014!W74*1000</f>
        <v>1.0783601E-2</v>
      </c>
      <c r="V11" s="83">
        <f>EIA_RE_aeo2014!X74*1000</f>
        <v>1.1229082E-2</v>
      </c>
      <c r="W11" s="83">
        <f>EIA_RE_aeo2014!Y74*1000</f>
        <v>1.1334820000000001E-2</v>
      </c>
      <c r="X11" s="184">
        <f>EIA_RE_aeo2014!Z74*1000</f>
        <v>1.1758219999999998E-2</v>
      </c>
      <c r="Y11" s="174">
        <f>EIA_RE_aeo2014!AA74*1000</f>
        <v>1.2825796999999998E-2</v>
      </c>
      <c r="Z11" s="174">
        <f>EIA_RE_aeo2014!AB74*1000</f>
        <v>1.4554629999999999E-2</v>
      </c>
      <c r="AA11" s="174">
        <f>EIA_RE_aeo2014!AC74*1000</f>
        <v>1.6048374000000001E-2</v>
      </c>
      <c r="AB11" s="174">
        <f>EIA_RE_aeo2014!AD74*1000</f>
        <v>1.7544751999999997E-2</v>
      </c>
      <c r="AC11" s="174">
        <f>EIA_RE_aeo2014!AE74*1000</f>
        <v>1.7955031999999999E-2</v>
      </c>
      <c r="AD11" s="174">
        <f>EIA_RE_aeo2014!AF74*1000</f>
        <v>1.8306678999999999E-2</v>
      </c>
      <c r="AE11" s="174">
        <f>EIA_RE_aeo2014!AG74*1000</f>
        <v>1.8575586000000002E-2</v>
      </c>
      <c r="AF11" s="174">
        <f>EIA_RE_aeo2014!AH74*1000</f>
        <v>1.8999570999999996E-2</v>
      </c>
      <c r="AG11" s="174">
        <f>EIA_RE_aeo2014!AI74*1000</f>
        <v>1.9477578999999998E-2</v>
      </c>
      <c r="AH11" s="174">
        <f>EIA_RE_aeo2014!AJ74*1000</f>
        <v>1.9535769999999997E-2</v>
      </c>
    </row>
    <row r="12" spans="1:34" s="20" customFormat="1">
      <c r="A12" s="9" t="s">
        <v>51</v>
      </c>
      <c r="B12" s="35">
        <v>1</v>
      </c>
      <c r="C12" s="330">
        <f>EIA_RE_aeo2014!E75*1000</f>
        <v>156</v>
      </c>
      <c r="D12" s="330">
        <f>EIA_RE_aeo2014!F75*1000</f>
        <v>185</v>
      </c>
      <c r="E12" s="330">
        <f>EIA_RE_aeo2014!G75*1000</f>
        <v>319.38048076328266</v>
      </c>
      <c r="F12" s="330">
        <f>EIA_RE_aeo2014!H75*1000</f>
        <v>374.8313296665404</v>
      </c>
      <c r="G12" s="330">
        <f>EIA_RE_aeo2014!I75*1000</f>
        <v>447.23619584225065</v>
      </c>
      <c r="H12" s="83">
        <f>EIA_RE_aeo2014!J75*1000</f>
        <v>399.73583488030289</v>
      </c>
      <c r="I12" s="174">
        <f>EIA_RE_aeo2014!K75*1000</f>
        <v>446.72367158920036</v>
      </c>
      <c r="J12" s="174">
        <f>EIA_RE_aeo2014!L75*1000</f>
        <v>399.70580615048175</v>
      </c>
      <c r="K12" s="174">
        <f>EIA_RE_aeo2014!M75*1000</f>
        <v>444.00632602114098</v>
      </c>
      <c r="L12" s="174">
        <f>EIA_RE_aeo2014!N75*1000</f>
        <v>349.05904505709697</v>
      </c>
      <c r="M12" s="174">
        <f>EIA_RE_aeo2014!O75*1000</f>
        <v>450.83506276709562</v>
      </c>
      <c r="N12" s="184">
        <f>EIA_RE_aeo2014!P75*1000</f>
        <v>496.95155734965516</v>
      </c>
      <c r="O12" s="174">
        <f>EIA_RE_aeo2014!Q75*1000</f>
        <v>450.87476176584227</v>
      </c>
      <c r="P12" s="174">
        <f>EIA_RE_aeo2014!R75*1000</f>
        <v>400.26617278663707</v>
      </c>
      <c r="Q12" s="174">
        <f>EIA_RE_aeo2014!S75*1000</f>
        <v>446.39997206095802</v>
      </c>
      <c r="R12" s="174">
        <f>EIA_RE_aeo2014!T75*1000</f>
        <v>498.51305130035865</v>
      </c>
      <c r="S12" s="83">
        <f>EIA_RE_aeo2014!U75*1000</f>
        <v>399.2910025097309</v>
      </c>
      <c r="T12" s="83">
        <f>EIA_RE_aeo2014!V75*1000</f>
        <v>444.73057826750704</v>
      </c>
      <c r="U12" s="83">
        <f>EIA_RE_aeo2014!W75*1000</f>
        <v>444.50103662090754</v>
      </c>
      <c r="V12" s="83">
        <f>EIA_RE_aeo2014!X75*1000</f>
        <v>450.67372196449685</v>
      </c>
      <c r="W12" s="83">
        <f>EIA_RE_aeo2014!Y75*1000</f>
        <v>393.19618827906783</v>
      </c>
      <c r="X12" s="184">
        <f>EIA_RE_aeo2014!Z75*1000</f>
        <v>395.21625656144795</v>
      </c>
      <c r="Y12" s="174">
        <f>EIA_RE_aeo2014!AA75*1000</f>
        <v>446.84480443152995</v>
      </c>
      <c r="Z12" s="174">
        <f>EIA_RE_aeo2014!AB75*1000</f>
        <v>392.4383445722238</v>
      </c>
      <c r="AA12" s="174">
        <f>EIA_RE_aeo2014!AC75*1000</f>
        <v>443.80630414284036</v>
      </c>
      <c r="AB12" s="174">
        <f>EIA_RE_aeo2014!AD75*1000</f>
        <v>444.41807589275737</v>
      </c>
      <c r="AC12" s="174">
        <f>EIA_RE_aeo2014!AE75*1000</f>
        <v>391.56598452284123</v>
      </c>
      <c r="AD12" s="174">
        <f>EIA_RE_aeo2014!AF75*1000</f>
        <v>443.25815258322245</v>
      </c>
      <c r="AE12" s="174">
        <f>EIA_RE_aeo2014!AG75*1000</f>
        <v>391.14507334382176</v>
      </c>
      <c r="AF12" s="174">
        <f>EIA_RE_aeo2014!AH75*1000</f>
        <v>391.72783428696238</v>
      </c>
      <c r="AG12" s="174">
        <f>EIA_RE_aeo2014!AI75*1000</f>
        <v>391.54104540824397</v>
      </c>
      <c r="AH12" s="174">
        <f>EIA_RE_aeo2014!AJ75*1000</f>
        <v>399.58416434662968</v>
      </c>
    </row>
    <row r="13" spans="1:34">
      <c r="A13" s="9" t="s">
        <v>347</v>
      </c>
      <c r="B13" s="34">
        <v>1</v>
      </c>
      <c r="C13" s="330">
        <f>(EIA_RE_aeo2014!E34+EIA_RE_aeo2014!E54)*1000</f>
        <v>0</v>
      </c>
      <c r="D13" s="330">
        <f>(EIA_RE_aeo2014!F34+EIA_RE_aeo2014!F54)*1000</f>
        <v>0</v>
      </c>
      <c r="E13" s="330">
        <f>(EIA_RE_aeo2014!G34+EIA_RE_aeo2014!G54)*1000</f>
        <v>0.02</v>
      </c>
      <c r="F13" s="330">
        <f>(EIA_RE_aeo2014!H34+EIA_RE_aeo2014!H54)*1000</f>
        <v>0.02</v>
      </c>
      <c r="G13" s="330">
        <f>(EIA_RE_aeo2014!I34+EIA_RE_aeo2014!I54)*1000</f>
        <v>0.02</v>
      </c>
      <c r="H13" s="83">
        <f>(EIA_RE_aeo2014!J34+EIA_RE_aeo2014!J54)*1000</f>
        <v>0.02</v>
      </c>
      <c r="I13" s="83">
        <f>(EIA_RE_aeo2014!K34+EIA_RE_aeo2014!K54)*1000</f>
        <v>0.02</v>
      </c>
      <c r="J13" s="83">
        <f>(EIA_RE_aeo2014!L34+EIA_RE_aeo2014!L54)*1000</f>
        <v>0.02</v>
      </c>
      <c r="K13" s="83">
        <f>(EIA_RE_aeo2014!M34+EIA_RE_aeo2014!M54)*1000</f>
        <v>0.02</v>
      </c>
      <c r="L13" s="83">
        <f>(EIA_RE_aeo2014!N34+EIA_RE_aeo2014!N54)*1000</f>
        <v>0.02</v>
      </c>
      <c r="M13" s="83">
        <f>(EIA_RE_aeo2014!O34+EIA_RE_aeo2014!O54)*1000</f>
        <v>0.02</v>
      </c>
      <c r="N13" s="388">
        <f>(EIA_RE_aeo2014!P34+EIA_RE_aeo2014!P54)*1000</f>
        <v>0.02</v>
      </c>
      <c r="O13" s="83">
        <f>(EIA_RE_aeo2014!Q34+EIA_RE_aeo2014!Q54)*1000</f>
        <v>0.02</v>
      </c>
      <c r="P13" s="83">
        <f>(EIA_RE_aeo2014!R34+EIA_RE_aeo2014!R54)*1000</f>
        <v>0.02</v>
      </c>
      <c r="Q13" s="83">
        <f>(EIA_RE_aeo2014!S34+EIA_RE_aeo2014!S54)*1000</f>
        <v>0.02</v>
      </c>
      <c r="R13" s="83">
        <f>(EIA_RE_aeo2014!T34+EIA_RE_aeo2014!T54)*1000</f>
        <v>0.02</v>
      </c>
      <c r="S13" s="83">
        <f>(EIA_RE_aeo2014!U34+EIA_RE_aeo2014!U54)*1000</f>
        <v>0.02</v>
      </c>
      <c r="T13" s="83">
        <f>(EIA_RE_aeo2014!V34+EIA_RE_aeo2014!V54)*1000</f>
        <v>0.02</v>
      </c>
      <c r="U13" s="83">
        <f>(EIA_RE_aeo2014!W34+EIA_RE_aeo2014!W54)*1000</f>
        <v>0.02</v>
      </c>
      <c r="V13" s="83">
        <f>(EIA_RE_aeo2014!X34+EIA_RE_aeo2014!X54)*1000</f>
        <v>0.02</v>
      </c>
      <c r="W13" s="83">
        <f>(EIA_RE_aeo2014!Y34+EIA_RE_aeo2014!Y54)*1000</f>
        <v>0.02</v>
      </c>
      <c r="X13" s="184">
        <f>(EIA_RE_aeo2014!Z34+EIA_RE_aeo2014!Z54)*1000</f>
        <v>0.02</v>
      </c>
      <c r="Y13" s="174">
        <f>(EIA_RE_aeo2014!AA34+EIA_RE_aeo2014!AA54)*1000</f>
        <v>0.02</v>
      </c>
      <c r="Z13" s="174">
        <f>(EIA_RE_aeo2014!AB34+EIA_RE_aeo2014!AB54)*1000</f>
        <v>0.02</v>
      </c>
      <c r="AA13" s="174">
        <f>(EIA_RE_aeo2014!AC34+EIA_RE_aeo2014!AC54)*1000</f>
        <v>0.02</v>
      </c>
      <c r="AB13" s="174">
        <f>(EIA_RE_aeo2014!AD34+EIA_RE_aeo2014!AD54)*1000</f>
        <v>0.02</v>
      </c>
      <c r="AC13" s="174">
        <f>(EIA_RE_aeo2014!AE34+EIA_RE_aeo2014!AE54)*1000</f>
        <v>0.02</v>
      </c>
      <c r="AD13" s="174">
        <f>(EIA_RE_aeo2014!AF34+EIA_RE_aeo2014!AF54)*1000</f>
        <v>0.02</v>
      </c>
      <c r="AE13" s="174">
        <f>(EIA_RE_aeo2014!AG34+EIA_RE_aeo2014!AG54)*1000</f>
        <v>0.02</v>
      </c>
      <c r="AF13" s="174">
        <f>(EIA_RE_aeo2014!AH34+EIA_RE_aeo2014!AH54)*1000</f>
        <v>0.02</v>
      </c>
      <c r="AG13" s="174">
        <f>(EIA_RE_aeo2014!AI34+EIA_RE_aeo2014!AI54)*1000</f>
        <v>0.02</v>
      </c>
      <c r="AH13" s="174">
        <f>EIA_RE_aeo2014!AJ77*1000</f>
        <v>0</v>
      </c>
    </row>
    <row r="14" spans="1:34">
      <c r="A14" s="9" t="s">
        <v>348</v>
      </c>
      <c r="B14" s="34">
        <v>1</v>
      </c>
      <c r="C14" s="330">
        <f>EIA_RE_aeo2014!E33*1000</f>
        <v>0</v>
      </c>
      <c r="D14" s="330">
        <f>EIA_RE_aeo2014!F33*1000</f>
        <v>0</v>
      </c>
      <c r="E14" s="330">
        <f>EIA_RE_aeo2014!G33*1000</f>
        <v>0.01</v>
      </c>
      <c r="F14" s="330">
        <f>EIA_RE_aeo2014!H33*1000</f>
        <v>0.01</v>
      </c>
      <c r="G14" s="330">
        <f>EIA_RE_aeo2014!I33*1000</f>
        <v>0.01</v>
      </c>
      <c r="H14" s="83">
        <f>EIA_RE_aeo2014!J33*1000</f>
        <v>0.01</v>
      </c>
      <c r="I14" s="83">
        <f>EIA_RE_aeo2014!K33*1000</f>
        <v>0.01</v>
      </c>
      <c r="J14" s="83">
        <f>EIA_RE_aeo2014!L33*1000</f>
        <v>0.01</v>
      </c>
      <c r="K14" s="83">
        <f>EIA_RE_aeo2014!M33*1000</f>
        <v>0.01</v>
      </c>
      <c r="L14" s="83">
        <f>EIA_RE_aeo2014!N33*1000</f>
        <v>0.01</v>
      </c>
      <c r="M14" s="83">
        <f>EIA_RE_aeo2014!O33*1000</f>
        <v>0.01</v>
      </c>
      <c r="N14" s="388">
        <f>EIA_RE_aeo2014!P33*1000</f>
        <v>0.01</v>
      </c>
      <c r="O14" s="83">
        <f>EIA_RE_aeo2014!Q33*1000</f>
        <v>0.01</v>
      </c>
      <c r="P14" s="83">
        <f>EIA_RE_aeo2014!R33*1000</f>
        <v>0.01</v>
      </c>
      <c r="Q14" s="83">
        <f>EIA_RE_aeo2014!S33*1000</f>
        <v>0.01</v>
      </c>
      <c r="R14" s="83">
        <f>EIA_RE_aeo2014!T33*1000</f>
        <v>0.01</v>
      </c>
      <c r="S14" s="83">
        <f>EIA_RE_aeo2014!U33*1000</f>
        <v>0.01</v>
      </c>
      <c r="T14" s="83">
        <f>EIA_RE_aeo2014!V33*1000</f>
        <v>0.01</v>
      </c>
      <c r="U14" s="83">
        <f>EIA_RE_aeo2014!W33*1000</f>
        <v>0.01</v>
      </c>
      <c r="V14" s="83">
        <f>EIA_RE_aeo2014!X33*1000</f>
        <v>0.01</v>
      </c>
      <c r="W14" s="83">
        <f>EIA_RE_aeo2014!Y33*1000</f>
        <v>0.01</v>
      </c>
      <c r="X14" s="184">
        <f>EIA_RE_aeo2014!Z33*1000</f>
        <v>0.01</v>
      </c>
      <c r="Y14" s="174">
        <f>EIA_RE_aeo2014!AA33*1000</f>
        <v>0.01</v>
      </c>
      <c r="Z14" s="174">
        <f>EIA_RE_aeo2014!AB33*1000</f>
        <v>0.01</v>
      </c>
      <c r="AA14" s="174">
        <f>EIA_RE_aeo2014!AC33*1000</f>
        <v>0.01</v>
      </c>
      <c r="AB14" s="174">
        <f>EIA_RE_aeo2014!AD33*1000</f>
        <v>0.01</v>
      </c>
      <c r="AC14" s="174">
        <f>EIA_RE_aeo2014!AE33*1000</f>
        <v>0.01</v>
      </c>
      <c r="AD14" s="174">
        <f>EIA_RE_aeo2014!AF33*1000</f>
        <v>0.01</v>
      </c>
      <c r="AE14" s="174">
        <f>EIA_RE_aeo2014!AG33*1000</f>
        <v>0.01</v>
      </c>
      <c r="AF14" s="174">
        <f>EIA_RE_aeo2014!AH33*1000</f>
        <v>0.01</v>
      </c>
      <c r="AG14" s="174">
        <f>EIA_RE_aeo2014!AI33*1000</f>
        <v>0.01</v>
      </c>
      <c r="AH14" s="174">
        <f>EIA_RE_aeo2014!AJ33*1000</f>
        <v>0.01</v>
      </c>
    </row>
    <row r="15" spans="1:34" s="514" customFormat="1">
      <c r="A15" s="511" t="s">
        <v>717</v>
      </c>
      <c r="B15" s="512">
        <v>1</v>
      </c>
      <c r="C15" s="513">
        <v>0.01</v>
      </c>
      <c r="D15" s="513">
        <v>0.01</v>
      </c>
      <c r="E15" s="513">
        <v>0.01</v>
      </c>
      <c r="F15" s="513">
        <v>0.01</v>
      </c>
      <c r="G15" s="513">
        <v>0.01</v>
      </c>
      <c r="H15" s="513">
        <v>0.01</v>
      </c>
      <c r="I15" s="513">
        <v>0.01</v>
      </c>
      <c r="J15" s="513">
        <v>0.01</v>
      </c>
      <c r="K15" s="513">
        <v>0.01</v>
      </c>
      <c r="L15" s="513">
        <v>0.01</v>
      </c>
      <c r="M15" s="513">
        <v>0.01</v>
      </c>
      <c r="N15" s="513">
        <v>0.01</v>
      </c>
      <c r="O15" s="513">
        <v>0.01</v>
      </c>
      <c r="P15" s="513">
        <v>0.01</v>
      </c>
      <c r="Q15" s="513">
        <v>0.01</v>
      </c>
      <c r="R15" s="513">
        <v>0.01</v>
      </c>
      <c r="S15" s="513">
        <v>0.01</v>
      </c>
      <c r="T15" s="513">
        <v>0.01</v>
      </c>
      <c r="U15" s="513">
        <v>0.01</v>
      </c>
      <c r="V15" s="513">
        <v>0.01</v>
      </c>
      <c r="W15" s="513">
        <v>0.01</v>
      </c>
      <c r="X15" s="513">
        <v>0.01</v>
      </c>
      <c r="Y15" s="513">
        <v>0.01</v>
      </c>
      <c r="Z15" s="513">
        <v>0.01</v>
      </c>
      <c r="AA15" s="513">
        <v>0.01</v>
      </c>
      <c r="AB15" s="513">
        <v>0.01</v>
      </c>
      <c r="AC15" s="513">
        <v>0.01</v>
      </c>
      <c r="AD15" s="513">
        <v>0.01</v>
      </c>
      <c r="AE15" s="513">
        <v>0.01</v>
      </c>
      <c r="AF15" s="513">
        <v>0.01</v>
      </c>
      <c r="AG15" s="513">
        <v>0.01</v>
      </c>
      <c r="AH15" s="513">
        <v>0.01</v>
      </c>
    </row>
    <row r="16" spans="1:34">
      <c r="A16" s="9" t="s">
        <v>53</v>
      </c>
      <c r="B16" s="34">
        <v>1</v>
      </c>
      <c r="C16" s="330">
        <f>EIA_RE_aeo2014!E78*1000</f>
        <v>3572</v>
      </c>
      <c r="D16" s="330">
        <f>EIA_RE_aeo2014!F78*1000</f>
        <v>4745</v>
      </c>
      <c r="E16" s="330">
        <f>EIA_RE_aeo2014!G78*1000</f>
        <v>4800.4626000000007</v>
      </c>
      <c r="F16" s="330">
        <f>EIA_RE_aeo2014!H78*1000</f>
        <v>5479.2620000000006</v>
      </c>
      <c r="G16" s="330">
        <f>EIA_RE_aeo2014!I78*1000</f>
        <v>6447.4790000000003</v>
      </c>
      <c r="H16" s="3">
        <f>EIA_RE_aeo2014!J78*1000</f>
        <v>6467.473</v>
      </c>
      <c r="I16" s="3">
        <f>EIA_RE_aeo2014!K78*1000</f>
        <v>6919.8340000000007</v>
      </c>
      <c r="J16" s="3">
        <f>EIA_RE_aeo2014!L78*1000</f>
        <v>7178.8872000000001</v>
      </c>
      <c r="K16" s="3">
        <f>EIA_RE_aeo2014!M78*1000</f>
        <v>7179.3019999999997</v>
      </c>
      <c r="L16" s="3">
        <f>EIA_RE_aeo2014!N78*1000</f>
        <v>7179.1260000000002</v>
      </c>
      <c r="M16" s="3">
        <f>EIA_RE_aeo2014!O78*1000</f>
        <v>7178.7097999999996</v>
      </c>
      <c r="N16" s="388">
        <f>EIA_RE_aeo2014!P78*1000</f>
        <v>7178.5983999999999</v>
      </c>
      <c r="O16" s="3">
        <f>EIA_RE_aeo2014!Q78*1000</f>
        <v>7178.5511999999999</v>
      </c>
      <c r="P16" s="3">
        <f>EIA_RE_aeo2014!R78*1000</f>
        <v>7180.8902000000007</v>
      </c>
      <c r="Q16" s="3">
        <f>EIA_RE_aeo2014!S78*1000</f>
        <v>7179.3154000000004</v>
      </c>
      <c r="R16" s="3">
        <f>EIA_RE_aeo2014!T78*1000</f>
        <v>7179.1922000000004</v>
      </c>
      <c r="S16" s="3">
        <f>EIA_RE_aeo2014!U78*1000</f>
        <v>7186.128200000001</v>
      </c>
      <c r="T16" s="3">
        <f>EIA_RE_aeo2014!V78*1000</f>
        <v>7196.9660000000003</v>
      </c>
      <c r="U16" s="3">
        <f>EIA_RE_aeo2014!W78*1000</f>
        <v>7207.2896000000001</v>
      </c>
      <c r="V16" s="3">
        <f>EIA_RE_aeo2014!X78*1000</f>
        <v>7212.0716000000011</v>
      </c>
      <c r="W16" s="3">
        <f>EIA_RE_aeo2014!Y78*1000</f>
        <v>7213.9564</v>
      </c>
      <c r="X16" s="184">
        <f>EIA_RE_aeo2014!Z78*1000</f>
        <v>7222.5808000000006</v>
      </c>
      <c r="Y16" s="174">
        <f>EIA_RE_aeo2014!AA78*1000</f>
        <v>7233.0488000000005</v>
      </c>
      <c r="Z16" s="174">
        <f>EIA_RE_aeo2014!AB78*1000</f>
        <v>7243.3919999999998</v>
      </c>
      <c r="AA16" s="174">
        <f>EIA_RE_aeo2014!AC78*1000</f>
        <v>7254.3754000000008</v>
      </c>
      <c r="AB16" s="174">
        <f>EIA_RE_aeo2014!AD78*1000</f>
        <v>7300.357</v>
      </c>
      <c r="AC16" s="174">
        <f>EIA_RE_aeo2014!AE78*1000</f>
        <v>7332.2304000000004</v>
      </c>
      <c r="AD16" s="174">
        <f>EIA_RE_aeo2014!AF78*1000</f>
        <v>7936.1704000000009</v>
      </c>
      <c r="AE16" s="174">
        <f>EIA_RE_aeo2014!AG78*1000</f>
        <v>8631.7387999999992</v>
      </c>
      <c r="AF16" s="174">
        <f>EIA_RE_aeo2014!AH78*1000</f>
        <v>8822.336400000002</v>
      </c>
      <c r="AG16" s="174">
        <f>EIA_RE_aeo2014!AI78*1000</f>
        <v>8890.1810000000005</v>
      </c>
      <c r="AH16" s="174">
        <f>EIA_RE_aeo2014!AJ78*1000</f>
        <v>9009.1142</v>
      </c>
    </row>
    <row r="17" spans="1:34">
      <c r="A17" s="11" t="s">
        <v>327</v>
      </c>
      <c r="B17" s="36"/>
      <c r="C17" s="330">
        <f t="shared" ref="C17:AH17" si="0">SUM(C7:C16)</f>
        <v>84600</v>
      </c>
      <c r="D17" s="330">
        <f t="shared" si="0"/>
        <v>84135</v>
      </c>
      <c r="E17" s="330">
        <f t="shared" si="0"/>
        <v>100434.69913420703</v>
      </c>
      <c r="F17" s="330">
        <f t="shared" si="0"/>
        <v>100300.62451784292</v>
      </c>
      <c r="G17" s="330">
        <f t="shared" si="0"/>
        <v>84897.678280769047</v>
      </c>
      <c r="H17" s="3">
        <f t="shared" si="0"/>
        <v>86491.022910572399</v>
      </c>
      <c r="I17" s="3">
        <f t="shared" si="0"/>
        <v>88378.738209450239</v>
      </c>
      <c r="J17" s="3">
        <f t="shared" si="0"/>
        <v>90032.964514514548</v>
      </c>
      <c r="K17" s="3">
        <f t="shared" si="0"/>
        <v>91099.556038534414</v>
      </c>
      <c r="L17" s="3">
        <f t="shared" si="0"/>
        <v>91029.404829461288</v>
      </c>
      <c r="M17" s="3">
        <f t="shared" si="0"/>
        <v>91348.201265798882</v>
      </c>
      <c r="N17" s="388">
        <f t="shared" si="0"/>
        <v>91431.276058896125</v>
      </c>
      <c r="O17" s="3">
        <f t="shared" si="0"/>
        <v>91869.845590391531</v>
      </c>
      <c r="P17" s="3">
        <f t="shared" si="0"/>
        <v>91874.035430193821</v>
      </c>
      <c r="Q17" s="3">
        <f t="shared" si="0"/>
        <v>91956.257783990528</v>
      </c>
      <c r="R17" s="3">
        <f t="shared" si="0"/>
        <v>92086.154529280786</v>
      </c>
      <c r="S17" s="3">
        <f t="shared" si="0"/>
        <v>92023.642216986438</v>
      </c>
      <c r="T17" s="3">
        <f t="shared" si="0"/>
        <v>92219.594749981276</v>
      </c>
      <c r="U17" s="3">
        <f t="shared" si="0"/>
        <v>92282.554876166265</v>
      </c>
      <c r="V17" s="3">
        <f t="shared" si="0"/>
        <v>92315.124934318519</v>
      </c>
      <c r="W17" s="3">
        <f t="shared" si="0"/>
        <v>92750.520690171499</v>
      </c>
      <c r="X17" s="184">
        <f t="shared" si="0"/>
        <v>92799.326335481761</v>
      </c>
      <c r="Y17" s="174">
        <f t="shared" si="0"/>
        <v>93005.666095401088</v>
      </c>
      <c r="Z17" s="174">
        <f t="shared" si="0"/>
        <v>93124.346817340731</v>
      </c>
      <c r="AA17" s="174">
        <f t="shared" si="0"/>
        <v>93240.16305392691</v>
      </c>
      <c r="AB17" s="174">
        <f t="shared" si="0"/>
        <v>93354.834422640866</v>
      </c>
      <c r="AC17" s="174">
        <f t="shared" si="0"/>
        <v>93549.090068281075</v>
      </c>
      <c r="AD17" s="174">
        <f t="shared" si="0"/>
        <v>94271.570763517826</v>
      </c>
      <c r="AE17" s="174">
        <f t="shared" si="0"/>
        <v>95052.258312852122</v>
      </c>
      <c r="AF17" s="174">
        <f t="shared" si="0"/>
        <v>95314.628172168043</v>
      </c>
      <c r="AG17" s="174">
        <f t="shared" si="0"/>
        <v>95816.067576974689</v>
      </c>
      <c r="AH17" s="174">
        <f t="shared" si="0"/>
        <v>96037.799997285547</v>
      </c>
    </row>
    <row r="18" spans="1:34">
      <c r="A18" s="10" t="s">
        <v>126</v>
      </c>
      <c r="B18" s="37"/>
      <c r="C18" s="331">
        <f t="shared" ref="C18:AH18" si="1">SUMPRODUCT($B7:$B16,C7:C16)</f>
        <v>5033.01</v>
      </c>
      <c r="D18" s="331">
        <f t="shared" si="1"/>
        <v>6606.01</v>
      </c>
      <c r="E18" s="331">
        <f t="shared" si="1"/>
        <v>6406.4952842070161</v>
      </c>
      <c r="F18" s="331">
        <f t="shared" si="1"/>
        <v>7099.6188678429107</v>
      </c>
      <c r="G18" s="331">
        <f t="shared" si="1"/>
        <v>8118.8583307690333</v>
      </c>
      <c r="H18" s="14">
        <f t="shared" si="1"/>
        <v>8175.3778605723983</v>
      </c>
      <c r="I18" s="14">
        <f t="shared" si="1"/>
        <v>8663.3769094502404</v>
      </c>
      <c r="J18" s="14">
        <f t="shared" si="1"/>
        <v>8983.387414514571</v>
      </c>
      <c r="K18" s="14">
        <f t="shared" si="1"/>
        <v>9160.9594885344304</v>
      </c>
      <c r="L18" s="14">
        <f t="shared" si="1"/>
        <v>9407.0230794612962</v>
      </c>
      <c r="M18" s="14">
        <f t="shared" si="1"/>
        <v>9725.7953157988741</v>
      </c>
      <c r="N18" s="190">
        <f t="shared" si="1"/>
        <v>9808.8943088961223</v>
      </c>
      <c r="O18" s="14">
        <f t="shared" si="1"/>
        <v>9867.6778403915378</v>
      </c>
      <c r="P18" s="14">
        <f t="shared" si="1"/>
        <v>9871.891880193838</v>
      </c>
      <c r="Q18" s="14">
        <f t="shared" si="1"/>
        <v>9954.1224839905262</v>
      </c>
      <c r="R18" s="14">
        <f t="shared" si="1"/>
        <v>10084.019229280793</v>
      </c>
      <c r="S18" s="14">
        <f t="shared" si="1"/>
        <v>10021.50691698642</v>
      </c>
      <c r="T18" s="14">
        <f t="shared" si="1"/>
        <v>10217.468249981262</v>
      </c>
      <c r="U18" s="14">
        <f t="shared" si="1"/>
        <v>10280.428376166257</v>
      </c>
      <c r="V18" s="14">
        <f t="shared" si="1"/>
        <v>10312.998434318524</v>
      </c>
      <c r="W18" s="14">
        <f t="shared" si="1"/>
        <v>10302.5179901715</v>
      </c>
      <c r="X18" s="187">
        <f t="shared" si="1"/>
        <v>10351.323635481769</v>
      </c>
      <c r="Y18" s="14">
        <f t="shared" si="1"/>
        <v>10460.924995401088</v>
      </c>
      <c r="Z18" s="14">
        <f t="shared" si="1"/>
        <v>10579.60516734074</v>
      </c>
      <c r="AA18" s="14">
        <f t="shared" si="1"/>
        <v>10695.421403926912</v>
      </c>
      <c r="AB18" s="14">
        <f t="shared" si="1"/>
        <v>10810.09277264087</v>
      </c>
      <c r="AC18" s="14">
        <f t="shared" si="1"/>
        <v>10862.006218281083</v>
      </c>
      <c r="AD18" s="14">
        <f t="shared" si="1"/>
        <v>11584.46216351783</v>
      </c>
      <c r="AE18" s="14">
        <f t="shared" si="1"/>
        <v>12365.166762852101</v>
      </c>
      <c r="AF18" s="14">
        <f t="shared" si="1"/>
        <v>12627.56192216805</v>
      </c>
      <c r="AG18" s="14">
        <f t="shared" si="1"/>
        <v>12785.184776974686</v>
      </c>
      <c r="AH18" s="14">
        <f t="shared" si="1"/>
        <v>13006.924897285564</v>
      </c>
    </row>
    <row r="19" spans="1:34">
      <c r="A19" s="10" t="s">
        <v>112</v>
      </c>
      <c r="B19" s="37"/>
      <c r="C19" s="332">
        <f t="shared" ref="C19:AH19" si="2">C18/C4</f>
        <v>4.8313958511322516E-2</v>
      </c>
      <c r="D19" s="332">
        <f t="shared" si="2"/>
        <v>6.4057657622713968E-2</v>
      </c>
      <c r="E19" s="332">
        <f t="shared" si="2"/>
        <v>5.5317702564597449E-2</v>
      </c>
      <c r="F19" s="332">
        <f t="shared" si="2"/>
        <v>6.043350138560645E-2</v>
      </c>
      <c r="G19" s="332">
        <f t="shared" si="2"/>
        <v>7.7978860635548874E-2</v>
      </c>
      <c r="H19" s="23">
        <f t="shared" si="2"/>
        <v>7.7365555979318018E-2</v>
      </c>
      <c r="I19" s="23">
        <f t="shared" si="2"/>
        <v>8.371706249050255E-2</v>
      </c>
      <c r="J19" s="23">
        <f t="shared" si="2"/>
        <v>8.4924696389437754E-2</v>
      </c>
      <c r="K19" s="23">
        <f t="shared" si="2"/>
        <v>8.5626014848024665E-2</v>
      </c>
      <c r="L19" s="23">
        <f t="shared" si="2"/>
        <v>8.7182974395458773E-2</v>
      </c>
      <c r="M19" s="23">
        <f t="shared" si="2"/>
        <v>8.9556422001929453E-2</v>
      </c>
      <c r="N19" s="183">
        <f t="shared" si="2"/>
        <v>8.987962293802465E-2</v>
      </c>
      <c r="O19" s="23">
        <f t="shared" si="2"/>
        <v>8.8910179263447298E-2</v>
      </c>
      <c r="P19" s="23">
        <f t="shared" si="2"/>
        <v>8.7822738372394835E-2</v>
      </c>
      <c r="Q19" s="23">
        <f t="shared" si="2"/>
        <v>8.771058767550631E-2</v>
      </c>
      <c r="R19" s="23">
        <f t="shared" si="2"/>
        <v>8.844821962298216E-2</v>
      </c>
      <c r="S19" s="23">
        <f t="shared" si="2"/>
        <v>8.7343194567517088E-2</v>
      </c>
      <c r="T19" s="23">
        <f t="shared" si="2"/>
        <v>8.8089160562220659E-2</v>
      </c>
      <c r="U19" s="23">
        <f t="shared" si="2"/>
        <v>8.8114408224607116E-2</v>
      </c>
      <c r="V19" s="23">
        <f t="shared" si="2"/>
        <v>8.804397987319719E-2</v>
      </c>
      <c r="W19" s="23">
        <f t="shared" si="2"/>
        <v>8.6926166715836417E-2</v>
      </c>
      <c r="X19" s="185">
        <f t="shared" si="2"/>
        <v>8.6687559592355287E-2</v>
      </c>
      <c r="Y19" s="172">
        <f t="shared" si="2"/>
        <v>8.7468856901175951E-2</v>
      </c>
      <c r="Z19" s="172">
        <f t="shared" si="2"/>
        <v>8.7795116088624725E-2</v>
      </c>
      <c r="AA19" s="172">
        <f t="shared" si="2"/>
        <v>8.8397839982202964E-2</v>
      </c>
      <c r="AB19" s="172">
        <f t="shared" si="2"/>
        <v>8.9123591412025291E-2</v>
      </c>
      <c r="AC19" s="172">
        <f t="shared" si="2"/>
        <v>8.922605215966091E-2</v>
      </c>
      <c r="AD19" s="172">
        <f t="shared" si="2"/>
        <v>9.4709550371329138E-2</v>
      </c>
      <c r="AE19" s="172">
        <f t="shared" si="2"/>
        <v>0.10040510460886302</v>
      </c>
      <c r="AF19" s="172">
        <f t="shared" si="2"/>
        <v>0.10203706518156158</v>
      </c>
      <c r="AG19" s="172">
        <f t="shared" si="2"/>
        <v>0.1022250642910435</v>
      </c>
      <c r="AH19" s="172">
        <f t="shared" si="2"/>
        <v>0.1032200044116544</v>
      </c>
    </row>
    <row r="20" spans="1:34">
      <c r="A20" s="10" t="s">
        <v>142</v>
      </c>
      <c r="B20" s="37"/>
      <c r="C20" s="331">
        <f>EIA_electricity_aeo2014!E49*1000</f>
        <v>7478</v>
      </c>
      <c r="D20" s="331">
        <f>EIA_electricity_aeo2014!F49*1000</f>
        <v>8527</v>
      </c>
      <c r="E20" s="331">
        <f>EIA_electricity_aeo2014!G49*1000</f>
        <v>6361.574613547562</v>
      </c>
      <c r="F20" s="331">
        <f>EIA_electricity_aeo2014!H49*1000</f>
        <v>6379.2587243831313</v>
      </c>
      <c r="G20" s="331">
        <f>EIA_electricity_aeo2014!I49*1000</f>
        <v>5909.2616317279044</v>
      </c>
      <c r="H20" s="14">
        <f>EIA_electricity_aeo2014!J49*1000</f>
        <v>6136.5299992898163</v>
      </c>
      <c r="I20" s="14">
        <f>EIA_electricity_aeo2014!K49*1000</f>
        <v>6646.5707758841863</v>
      </c>
      <c r="J20" s="14">
        <f>EIA_electricity_aeo2014!L49*1000</f>
        <v>6608.0516442209637</v>
      </c>
      <c r="K20" s="14">
        <f>EIA_electricity_aeo2014!M49*1000</f>
        <v>6805.9297507606452</v>
      </c>
      <c r="L20" s="14">
        <f>EIA_electricity_aeo2014!N49*1000</f>
        <v>6849.5795182906368</v>
      </c>
      <c r="M20" s="14">
        <f>EIA_electricity_aeo2014!O49*1000</f>
        <v>6836.3528732912528</v>
      </c>
      <c r="N20" s="190">
        <f>EIA_electricity_aeo2014!P49*1000</f>
        <v>6841.1307206371011</v>
      </c>
      <c r="O20" s="14">
        <f>EIA_electricity_aeo2014!Q49*1000</f>
        <v>6639.5433023194937</v>
      </c>
      <c r="P20" s="14">
        <f>EIA_electricity_aeo2014!R49*1000</f>
        <v>6553.8167456221727</v>
      </c>
      <c r="Q20" s="14">
        <f>EIA_electricity_aeo2014!S49*1000</f>
        <v>6556.2590223014331</v>
      </c>
      <c r="R20" s="14">
        <f>EIA_electricity_aeo2014!T49*1000</f>
        <v>6555.7792404518468</v>
      </c>
      <c r="S20" s="14">
        <f>EIA_electricity_aeo2014!U49*1000</f>
        <v>6558.3686923871101</v>
      </c>
      <c r="T20" s="14">
        <f>EIA_electricity_aeo2014!V49*1000</f>
        <v>6536.5923400975089</v>
      </c>
      <c r="U20" s="14">
        <f>EIA_electricity_aeo2014!W49*1000</f>
        <v>6526.6536630353803</v>
      </c>
      <c r="V20" s="14">
        <f>EIA_electricity_aeo2014!X49*1000</f>
        <v>6517.1063467417162</v>
      </c>
      <c r="W20" s="14">
        <f>EIA_electricity_aeo2014!Y49*1000</f>
        <v>6510.6580892221273</v>
      </c>
      <c r="X20" s="187">
        <f>EIA_electricity_aeo2014!Z49*1000</f>
        <v>6503.0688414346478</v>
      </c>
      <c r="Y20" s="14">
        <f>EIA_electricity_aeo2014!AA49*1000</f>
        <v>6495.0622545753704</v>
      </c>
      <c r="Z20" s="14">
        <f>EIA_electricity_aeo2014!AB49*1000</f>
        <v>6471.084649459337</v>
      </c>
      <c r="AA20" s="14">
        <f>EIA_electricity_aeo2014!AC49*1000</f>
        <v>6463.2731369995299</v>
      </c>
      <c r="AB20" s="14">
        <f>EIA_electricity_aeo2014!AD49*1000</f>
        <v>6455.9630637578084</v>
      </c>
      <c r="AC20" s="14">
        <f>EIA_electricity_aeo2014!AE49*1000</f>
        <v>6450.3729333574429</v>
      </c>
      <c r="AD20" s="14">
        <f>EIA_electricity_aeo2014!AF49*1000</f>
        <v>6446.5462186184104</v>
      </c>
      <c r="AE20" s="14">
        <f>EIA_electricity_aeo2014!AG49*1000</f>
        <v>6437.9967221055031</v>
      </c>
      <c r="AF20" s="14">
        <f>EIA_electricity_aeo2014!AH49*1000</f>
        <v>6430.4344011192497</v>
      </c>
      <c r="AG20" s="14">
        <f>EIA_electricity_aeo2014!AI49*1000</f>
        <v>6423.7314192217445</v>
      </c>
      <c r="AH20" s="14">
        <f>EIA_electricity_aeo2014!AJ49*1000</f>
        <v>6416.1295247957278</v>
      </c>
    </row>
    <row r="21" spans="1:34">
      <c r="A21" s="10" t="s">
        <v>222</v>
      </c>
      <c r="B21" s="37"/>
      <c r="C21" s="331">
        <f>EIA_electricity_aeo2014!E51*1000</f>
        <v>11971</v>
      </c>
      <c r="D21" s="331">
        <f>EIA_electricity_aeo2014!F51*1000</f>
        <v>10359</v>
      </c>
      <c r="E21" s="331">
        <f>EIA_electricity_aeo2014!G51*1000</f>
        <v>8941.6302299999988</v>
      </c>
      <c r="F21" s="331">
        <f>EIA_electricity_aeo2014!H51*1000</f>
        <v>10709.629650000001</v>
      </c>
      <c r="G21" s="331">
        <f>EIA_electricity_aeo2014!I51*1000</f>
        <v>13250.64474</v>
      </c>
      <c r="H21" s="14">
        <f>EIA_electricity_aeo2014!J51*1000</f>
        <v>12984.872670000002</v>
      </c>
      <c r="I21" s="14">
        <f>EIA_electricity_aeo2014!K51*1000</f>
        <v>8396.8182900000011</v>
      </c>
      <c r="J21" s="14">
        <f>EIA_electricity_aeo2014!L51*1000</f>
        <v>9077.7142800000001</v>
      </c>
      <c r="K21" s="14">
        <f>EIA_electricity_aeo2014!M51*1000</f>
        <v>9019.6569900000013</v>
      </c>
      <c r="L21" s="14">
        <f>EIA_electricity_aeo2014!N51*1000</f>
        <v>9957.4631099999988</v>
      </c>
      <c r="M21" s="14">
        <f>EIA_electricity_aeo2014!O51*1000</f>
        <v>10351.841040000001</v>
      </c>
      <c r="N21" s="190">
        <f>EIA_electricity_aeo2014!P51*1000</f>
        <v>10797.98121</v>
      </c>
      <c r="O21" s="14">
        <f>EIA_electricity_aeo2014!Q51*1000</f>
        <v>12412.734569999999</v>
      </c>
      <c r="P21" s="14">
        <f>EIA_electricity_aeo2014!R51*1000</f>
        <v>13916.804400000001</v>
      </c>
      <c r="Q21" s="14">
        <f>EIA_electricity_aeo2014!S51*1000</f>
        <v>14913.374940000002</v>
      </c>
      <c r="R21" s="14">
        <f>EIA_electricity_aeo2014!T51*1000</f>
        <v>15306.075360000001</v>
      </c>
      <c r="S21" s="14">
        <f>EIA_electricity_aeo2014!U51*1000</f>
        <v>16092.637470000003</v>
      </c>
      <c r="T21" s="14">
        <f>EIA_electricity_aeo2014!V51*1000</f>
        <v>17171.444610000002</v>
      </c>
      <c r="U21" s="14">
        <f>EIA_electricity_aeo2014!W51*1000</f>
        <v>17799.773490000003</v>
      </c>
      <c r="V21" s="14">
        <f>EIA_electricity_aeo2014!X51*1000</f>
        <v>18240.047100000003</v>
      </c>
      <c r="W21" s="14">
        <f>EIA_electricity_aeo2014!Y51*1000</f>
        <v>19196.826390000002</v>
      </c>
      <c r="X21" s="187">
        <f>EIA_electricity_aeo2014!Z51*1000</f>
        <v>20044.86534</v>
      </c>
      <c r="Y21" s="14">
        <f>EIA_electricity_aeo2014!AA51*1000</f>
        <v>20032.965629999999</v>
      </c>
      <c r="Z21" s="14">
        <f>EIA_electricity_aeo2014!AB51*1000</f>
        <v>20845.630260000005</v>
      </c>
      <c r="AA21" s="14">
        <f>EIA_electricity_aeo2014!AC51*1000</f>
        <v>21226.19256</v>
      </c>
      <c r="AB21" s="14">
        <f>EIA_electricity_aeo2014!AD51*1000</f>
        <v>21420.248310000003</v>
      </c>
      <c r="AC21" s="14">
        <f>EIA_electricity_aeo2014!AE51*1000</f>
        <v>21674.131470000004</v>
      </c>
      <c r="AD21" s="14">
        <f>EIA_electricity_aeo2014!AF51*1000</f>
        <v>21535.3053</v>
      </c>
      <c r="AE21" s="14">
        <f>EIA_electricity_aeo2014!AG51*1000</f>
        <v>21600.296190000001</v>
      </c>
      <c r="AF21" s="14">
        <f>EIA_electricity_aeo2014!AH51*1000</f>
        <v>21947.391180000002</v>
      </c>
      <c r="AG21" s="14">
        <f>EIA_electricity_aeo2014!AI51*1000</f>
        <v>22766.996160000002</v>
      </c>
      <c r="AH21" s="14">
        <f>EIA_electricity_aeo2014!AJ51*1000</f>
        <v>23495.552550000004</v>
      </c>
    </row>
    <row r="22" spans="1:34">
      <c r="A22" s="10" t="s">
        <v>351</v>
      </c>
      <c r="B22" s="37"/>
      <c r="C22" s="330">
        <f>SUM(C17,C20:C21)</f>
        <v>104049</v>
      </c>
      <c r="D22" s="330">
        <f t="shared" ref="D22:AH22" si="3">SUM(D17,D20:D21)</f>
        <v>103021</v>
      </c>
      <c r="E22" s="330">
        <f t="shared" si="3"/>
        <v>115737.90397775458</v>
      </c>
      <c r="F22" s="330">
        <f t="shared" si="3"/>
        <v>117389.51289222606</v>
      </c>
      <c r="G22" s="330">
        <f t="shared" si="3"/>
        <v>104057.58465249695</v>
      </c>
      <c r="H22" s="79">
        <f t="shared" si="3"/>
        <v>105612.42557986222</v>
      </c>
      <c r="I22" s="79">
        <f t="shared" si="3"/>
        <v>103422.12727533442</v>
      </c>
      <c r="J22" s="79">
        <f t="shared" si="3"/>
        <v>105718.73043873551</v>
      </c>
      <c r="K22" s="79">
        <f t="shared" si="3"/>
        <v>106925.14277929506</v>
      </c>
      <c r="L22" s="79">
        <f t="shared" si="3"/>
        <v>107836.44745775191</v>
      </c>
      <c r="M22" s="79">
        <f t="shared" si="3"/>
        <v>108536.39517909013</v>
      </c>
      <c r="N22" s="388">
        <f t="shared" si="3"/>
        <v>109070.38798953322</v>
      </c>
      <c r="O22" s="79">
        <f t="shared" si="3"/>
        <v>110922.12346271102</v>
      </c>
      <c r="P22" s="79">
        <f t="shared" si="3"/>
        <v>112344.65657581598</v>
      </c>
      <c r="Q22" s="79">
        <f t="shared" si="3"/>
        <v>113425.89174629195</v>
      </c>
      <c r="R22" s="79">
        <f t="shared" si="3"/>
        <v>113948.00912973263</v>
      </c>
      <c r="S22" s="79">
        <f t="shared" si="3"/>
        <v>114674.64837937355</v>
      </c>
      <c r="T22" s="79">
        <f t="shared" si="3"/>
        <v>115927.6317000788</v>
      </c>
      <c r="U22" s="79">
        <f t="shared" si="3"/>
        <v>116608.98202920165</v>
      </c>
      <c r="V22" s="79">
        <f t="shared" si="3"/>
        <v>117072.27838106023</v>
      </c>
      <c r="W22" s="79">
        <f t="shared" si="3"/>
        <v>118458.00516939363</v>
      </c>
      <c r="X22" s="184">
        <f t="shared" si="3"/>
        <v>119347.26051691642</v>
      </c>
      <c r="Y22" s="174">
        <f t="shared" si="3"/>
        <v>119533.69397997647</v>
      </c>
      <c r="Z22" s="174">
        <f t="shared" si="3"/>
        <v>120441.06172680008</v>
      </c>
      <c r="AA22" s="174">
        <f t="shared" si="3"/>
        <v>120929.62875092644</v>
      </c>
      <c r="AB22" s="174">
        <f t="shared" si="3"/>
        <v>121231.04579639868</v>
      </c>
      <c r="AC22" s="174">
        <f t="shared" si="3"/>
        <v>121673.59447163853</v>
      </c>
      <c r="AD22" s="174">
        <f t="shared" si="3"/>
        <v>122253.42228213625</v>
      </c>
      <c r="AE22" s="174">
        <f t="shared" si="3"/>
        <v>123090.55122495763</v>
      </c>
      <c r="AF22" s="174">
        <f t="shared" si="3"/>
        <v>123692.45375328729</v>
      </c>
      <c r="AG22" s="174">
        <f t="shared" si="3"/>
        <v>125006.79515619643</v>
      </c>
      <c r="AH22" s="174">
        <f t="shared" si="3"/>
        <v>125949.48207208129</v>
      </c>
    </row>
    <row r="23" spans="1:34">
      <c r="A23" s="10" t="s">
        <v>328</v>
      </c>
      <c r="B23" s="37"/>
      <c r="C23" s="330">
        <f>EIA_electricity_aeo2014!E50*1000+EIA_electricity_aeo2014!E55*1000</f>
        <v>113</v>
      </c>
      <c r="D23" s="330">
        <f>EIA_electricity_aeo2014!F50*1000+EIA_electricity_aeo2014!F55*1000</f>
        <v>94</v>
      </c>
      <c r="E23" s="330">
        <f>EIA_electricity_aeo2014!G50*1000+EIA_electricity_aeo2014!G55*1000</f>
        <v>74.876501638662177</v>
      </c>
      <c r="F23" s="330">
        <f>EIA_electricity_aeo2014!H50*1000+EIA_electricity_aeo2014!H55*1000</f>
        <v>88.715541827283289</v>
      </c>
      <c r="G23" s="330">
        <f>EIA_electricity_aeo2014!I50*1000+EIA_electricity_aeo2014!I55*1000</f>
        <v>58.589961545033873</v>
      </c>
      <c r="H23" s="330">
        <f>EIA_electricity_aeo2014!J50*1000+EIA_electricity_aeo2014!J55*1000</f>
        <v>59.666839722857276</v>
      </c>
      <c r="I23" s="330">
        <f>EIA_electricity_aeo2014!K50*1000+EIA_electricity_aeo2014!K55*1000</f>
        <v>61.907678053354907</v>
      </c>
      <c r="J23" s="330">
        <f>EIA_electricity_aeo2014!L50*1000+EIA_electricity_aeo2014!L55*1000</f>
        <v>61.924001999613893</v>
      </c>
      <c r="K23" s="330">
        <f>EIA_electricity_aeo2014!M50*1000+EIA_electricity_aeo2014!M55*1000</f>
        <v>62.927068103802846</v>
      </c>
      <c r="L23" s="330">
        <f>EIA_electricity_aeo2014!N50*1000+EIA_electricity_aeo2014!N55*1000</f>
        <v>63.354770612115175</v>
      </c>
      <c r="M23" s="330">
        <f>EIA_electricity_aeo2014!O50*1000+EIA_electricity_aeo2014!O55*1000</f>
        <v>63.276235674489222</v>
      </c>
      <c r="N23" s="330">
        <f>EIA_electricity_aeo2014!P50*1000+EIA_electricity_aeo2014!P55*1000</f>
        <v>63.325355575151114</v>
      </c>
      <c r="O23" s="330">
        <f>EIA_electricity_aeo2014!Q50*1000+EIA_electricity_aeo2014!Q55*1000</f>
        <v>62.699528796636699</v>
      </c>
      <c r="P23" s="330">
        <f>EIA_electricity_aeo2014!R50*1000+EIA_electricity_aeo2014!R55*1000</f>
        <v>62.388545188797721</v>
      </c>
      <c r="Q23" s="330">
        <f>EIA_electricity_aeo2014!S50*1000+EIA_electricity_aeo2014!S55*1000</f>
        <v>62.404012646402649</v>
      </c>
      <c r="R23" s="330">
        <f>EIA_electricity_aeo2014!T50*1000+EIA_electricity_aeo2014!T55*1000</f>
        <v>62.447222145976163</v>
      </c>
      <c r="S23" s="330">
        <f>EIA_electricity_aeo2014!U50*1000+EIA_electricity_aeo2014!U55*1000</f>
        <v>62.505292462204238</v>
      </c>
      <c r="T23" s="330">
        <f>EIA_electricity_aeo2014!V50*1000+EIA_electricity_aeo2014!V55*1000</f>
        <v>62.472274621917862</v>
      </c>
      <c r="U23" s="330">
        <f>EIA_electricity_aeo2014!W50*1000+EIA_electricity_aeo2014!W55*1000</f>
        <v>62.41401982225689</v>
      </c>
      <c r="V23" s="330">
        <f>EIA_electricity_aeo2014!X50*1000+EIA_electricity_aeo2014!X55*1000</f>
        <v>62.375123823608469</v>
      </c>
      <c r="W23" s="330">
        <f>EIA_electricity_aeo2014!Y50*1000+EIA_electricity_aeo2014!Y55*1000</f>
        <v>62.355122527112272</v>
      </c>
      <c r="X23" s="330">
        <f>EIA_electricity_aeo2014!Z50*1000+EIA_electricity_aeo2014!Z55*1000</f>
        <v>62.332794802631618</v>
      </c>
      <c r="Y23" s="330">
        <f>EIA_electricity_aeo2014!AA50*1000+EIA_electricity_aeo2014!AA55*1000</f>
        <v>62.331280600082472</v>
      </c>
      <c r="Z23" s="330">
        <f>EIA_electricity_aeo2014!AB50*1000+EIA_electricity_aeo2014!AB55*1000</f>
        <v>62.313318739402682</v>
      </c>
      <c r="AA23" s="330">
        <f>EIA_electricity_aeo2014!AC50*1000+EIA_electricity_aeo2014!AC55*1000</f>
        <v>62.287544940156344</v>
      </c>
      <c r="AB23" s="330">
        <f>EIA_electricity_aeo2014!AD50*1000+EIA_electricity_aeo2014!AD55*1000</f>
        <v>62.264707356721587</v>
      </c>
      <c r="AC23" s="330">
        <f>EIA_electricity_aeo2014!AE50*1000+EIA_electricity_aeo2014!AE55*1000</f>
        <v>62.250969849697469</v>
      </c>
      <c r="AD23" s="330">
        <f>EIA_electricity_aeo2014!AF50*1000+EIA_electricity_aeo2014!AF55*1000</f>
        <v>62.278292778940894</v>
      </c>
      <c r="AE23" s="330">
        <f>EIA_electricity_aeo2014!AG50*1000+EIA_electricity_aeo2014!AG55*1000</f>
        <v>62.248856022867898</v>
      </c>
      <c r="AF23" s="330">
        <f>EIA_electricity_aeo2014!AH50*1000+EIA_electricity_aeo2014!AH55*1000</f>
        <v>62.232456188720718</v>
      </c>
      <c r="AG23" s="330">
        <f>EIA_electricity_aeo2014!AI50*1000+EIA_electricity_aeo2014!AI55*1000</f>
        <v>62.217344750403825</v>
      </c>
      <c r="AH23" s="330">
        <f>EIA_electricity_aeo2014!AJ50*1000+EIA_electricity_aeo2014!AJ55*1000</f>
        <v>62.195641207160875</v>
      </c>
    </row>
    <row r="24" spans="1:34">
      <c r="A24" s="10" t="s">
        <v>345</v>
      </c>
      <c r="B24" s="37"/>
      <c r="C24" s="330">
        <f>SUM(C22:C23)</f>
        <v>104162</v>
      </c>
      <c r="D24" s="330">
        <f t="shared" ref="D24:AH24" si="4">SUM(D22:D23)</f>
        <v>103115</v>
      </c>
      <c r="E24" s="330">
        <f t="shared" si="4"/>
        <v>115812.78047939324</v>
      </c>
      <c r="F24" s="330">
        <f t="shared" si="4"/>
        <v>117478.22843405335</v>
      </c>
      <c r="G24" s="330">
        <f t="shared" si="4"/>
        <v>104116.17461404199</v>
      </c>
      <c r="H24" s="83">
        <f t="shared" si="4"/>
        <v>105672.09241958508</v>
      </c>
      <c r="I24" s="83">
        <f t="shared" si="4"/>
        <v>103484.03495338777</v>
      </c>
      <c r="J24" s="83">
        <f t="shared" si="4"/>
        <v>105780.65444073512</v>
      </c>
      <c r="K24" s="83">
        <f t="shared" si="4"/>
        <v>106988.06984739886</v>
      </c>
      <c r="L24" s="83">
        <f t="shared" si="4"/>
        <v>107899.80222836403</v>
      </c>
      <c r="M24" s="83">
        <f t="shared" si="4"/>
        <v>108599.67141476463</v>
      </c>
      <c r="N24" s="388">
        <f t="shared" si="4"/>
        <v>109133.71334510838</v>
      </c>
      <c r="O24" s="83">
        <f t="shared" si="4"/>
        <v>110984.82299150767</v>
      </c>
      <c r="P24" s="83">
        <f t="shared" si="4"/>
        <v>112407.04512100478</v>
      </c>
      <c r="Q24" s="83">
        <f t="shared" si="4"/>
        <v>113488.29575893836</v>
      </c>
      <c r="R24" s="83">
        <f t="shared" si="4"/>
        <v>114010.4563518786</v>
      </c>
      <c r="S24" s="83">
        <f t="shared" si="4"/>
        <v>114737.15367183575</v>
      </c>
      <c r="T24" s="83">
        <f t="shared" si="4"/>
        <v>115990.10397470072</v>
      </c>
      <c r="U24" s="83">
        <f t="shared" si="4"/>
        <v>116671.39604902391</v>
      </c>
      <c r="V24" s="83">
        <f t="shared" si="4"/>
        <v>117134.65350488384</v>
      </c>
      <c r="W24" s="83">
        <f t="shared" si="4"/>
        <v>118520.36029192073</v>
      </c>
      <c r="X24" s="184">
        <f t="shared" si="4"/>
        <v>119409.59331171904</v>
      </c>
      <c r="Y24" s="174">
        <f t="shared" si="4"/>
        <v>119596.02526057654</v>
      </c>
      <c r="Z24" s="174">
        <f t="shared" si="4"/>
        <v>120503.37504553948</v>
      </c>
      <c r="AA24" s="174">
        <f t="shared" si="4"/>
        <v>120991.9162958666</v>
      </c>
      <c r="AB24" s="174">
        <f t="shared" si="4"/>
        <v>121293.31050375541</v>
      </c>
      <c r="AC24" s="174">
        <f t="shared" si="4"/>
        <v>121735.84544148823</v>
      </c>
      <c r="AD24" s="174">
        <f t="shared" si="4"/>
        <v>122315.70057491519</v>
      </c>
      <c r="AE24" s="174">
        <f t="shared" si="4"/>
        <v>123152.80008098049</v>
      </c>
      <c r="AF24" s="174">
        <f t="shared" si="4"/>
        <v>123754.68620947601</v>
      </c>
      <c r="AG24" s="174">
        <f t="shared" si="4"/>
        <v>125069.01250094683</v>
      </c>
      <c r="AH24" s="174">
        <f t="shared" si="4"/>
        <v>126011.67771328845</v>
      </c>
    </row>
    <row r="25" spans="1:34">
      <c r="A25" s="10" t="s">
        <v>346</v>
      </c>
      <c r="B25" s="37"/>
      <c r="C25" s="332">
        <f t="shared" ref="C25:AH25" si="5">C24/C4-1</f>
        <v>-1.0559357991035689E-4</v>
      </c>
      <c r="D25" s="332">
        <f t="shared" si="5"/>
        <v>-1.0666563233308057E-4</v>
      </c>
      <c r="E25" s="332">
        <f t="shared" si="5"/>
        <v>2.5903883527078619E-7</v>
      </c>
      <c r="F25" s="332">
        <f t="shared" si="5"/>
        <v>2.5536653125435294E-7</v>
      </c>
      <c r="G25" s="332">
        <f t="shared" si="5"/>
        <v>2.8813975094799105E-7</v>
      </c>
      <c r="H25" s="82">
        <f t="shared" si="5"/>
        <v>2.8389717510179935E-7</v>
      </c>
      <c r="I25" s="82">
        <f t="shared" si="5"/>
        <v>2.8989987410632523E-7</v>
      </c>
      <c r="J25" s="82">
        <f t="shared" si="5"/>
        <v>2.8360581283415343E-7</v>
      </c>
      <c r="K25" s="82">
        <f t="shared" si="5"/>
        <v>2.8040517441318968E-7</v>
      </c>
      <c r="L25" s="82">
        <f t="shared" si="5"/>
        <v>2.7803580460172839E-7</v>
      </c>
      <c r="M25" s="82">
        <f t="shared" si="5"/>
        <v>2.7624400633641244E-7</v>
      </c>
      <c r="N25" s="199">
        <f t="shared" si="5"/>
        <v>2.7489221543497422E-7</v>
      </c>
      <c r="O25" s="82">
        <f t="shared" si="5"/>
        <v>2.7030730231913935E-7</v>
      </c>
      <c r="P25" s="82">
        <f t="shared" si="5"/>
        <v>2.6688725696111248E-7</v>
      </c>
      <c r="Q25" s="82">
        <f t="shared" si="5"/>
        <v>2.6434450961509981E-7</v>
      </c>
      <c r="R25" s="82">
        <f t="shared" si="5"/>
        <v>2.6313382850418066E-7</v>
      </c>
      <c r="S25" s="82">
        <f t="shared" si="5"/>
        <v>2.6146724829700929E-7</v>
      </c>
      <c r="T25" s="82">
        <f t="shared" si="5"/>
        <v>2.5864282160448226E-7</v>
      </c>
      <c r="U25" s="82">
        <f t="shared" si="5"/>
        <v>2.5713249995895637E-7</v>
      </c>
      <c r="V25" s="82">
        <f t="shared" si="5"/>
        <v>2.5611556253579693E-7</v>
      </c>
      <c r="W25" s="82">
        <f t="shared" si="5"/>
        <v>2.5312113050013352E-7</v>
      </c>
      <c r="X25" s="185">
        <f t="shared" si="5"/>
        <v>2.5123615854383274E-7</v>
      </c>
      <c r="Y25" s="172">
        <f t="shared" si="5"/>
        <v>2.5084451960033505E-7</v>
      </c>
      <c r="Z25" s="172">
        <f t="shared" si="5"/>
        <v>2.4895574446404112E-7</v>
      </c>
      <c r="AA25" s="172">
        <f t="shared" si="5"/>
        <v>2.4795051078996266E-7</v>
      </c>
      <c r="AB25" s="172">
        <f t="shared" si="5"/>
        <v>2.4733439385471456E-7</v>
      </c>
      <c r="AC25" s="172">
        <f t="shared" si="5"/>
        <v>2.4643528195866793E-7</v>
      </c>
      <c r="AD25" s="172">
        <f t="shared" si="5"/>
        <v>2.4526702002702905E-7</v>
      </c>
      <c r="AE25" s="172">
        <f t="shared" si="5"/>
        <v>2.4359988004540867E-7</v>
      </c>
      <c r="AF25" s="172">
        <f t="shared" si="5"/>
        <v>2.4241512130984688E-7</v>
      </c>
      <c r="AG25" s="172">
        <f t="shared" si="5"/>
        <v>2.398676264281363E-7</v>
      </c>
      <c r="AH25" s="172">
        <f t="shared" si="5"/>
        <v>7.9357730609075361E-8</v>
      </c>
    </row>
    <row r="26" spans="1:34">
      <c r="A26" s="10"/>
      <c r="B26" s="37"/>
      <c r="C26" s="332"/>
      <c r="D26" s="332"/>
      <c r="E26" s="332"/>
      <c r="F26" s="332"/>
      <c r="G26" s="332"/>
      <c r="H26" s="82"/>
      <c r="I26" s="82"/>
      <c r="J26" s="82"/>
      <c r="K26" s="82"/>
      <c r="L26" s="82"/>
      <c r="M26" s="82"/>
      <c r="N26" s="183" t="s">
        <v>0</v>
      </c>
      <c r="O26" s="91" t="s">
        <v>0</v>
      </c>
      <c r="P26" s="82"/>
      <c r="Q26" s="82"/>
      <c r="R26" s="82"/>
      <c r="S26" s="82"/>
      <c r="T26" s="82"/>
      <c r="U26" s="82"/>
      <c r="V26" s="82"/>
      <c r="W26" s="82"/>
      <c r="X26" s="185" t="s">
        <v>0</v>
      </c>
    </row>
    <row r="27" spans="1:34">
      <c r="A27" s="10"/>
      <c r="B27" s="37"/>
      <c r="C27" s="332"/>
      <c r="D27" s="332"/>
      <c r="E27" s="332"/>
      <c r="F27" s="332"/>
      <c r="G27" s="332"/>
      <c r="H27" s="164"/>
      <c r="I27" s="164"/>
      <c r="J27" s="164"/>
      <c r="K27" s="164"/>
      <c r="L27" s="164"/>
      <c r="M27" s="164"/>
      <c r="N27" s="183"/>
      <c r="O27" s="164"/>
      <c r="P27" s="164"/>
      <c r="Q27" s="164"/>
      <c r="R27" s="164"/>
      <c r="S27" s="164"/>
      <c r="T27" s="164"/>
      <c r="U27" s="164"/>
      <c r="V27" s="164"/>
      <c r="W27" s="164"/>
      <c r="X27" s="185"/>
    </row>
    <row r="28" spans="1:34">
      <c r="A28" s="9" t="s">
        <v>125</v>
      </c>
      <c r="B28" s="37"/>
      <c r="C28" s="332">
        <f t="shared" ref="C28:K28" si="6">C10/C$18</f>
        <v>0.25928817943934146</v>
      </c>
      <c r="D28" s="332">
        <f t="shared" si="6"/>
        <v>0.25370836556408483</v>
      </c>
      <c r="E28" s="332">
        <f t="shared" si="6"/>
        <v>0.20082903246887931</v>
      </c>
      <c r="F28" s="332">
        <f t="shared" si="6"/>
        <v>0.17542962930273284</v>
      </c>
      <c r="G28" s="332">
        <f t="shared" si="6"/>
        <v>0.15077251891594873</v>
      </c>
      <c r="H28" s="164">
        <f t="shared" si="6"/>
        <v>0.16000806508024903</v>
      </c>
      <c r="I28" s="164">
        <f t="shared" si="6"/>
        <v>0.14968488829390311</v>
      </c>
      <c r="J28" s="164">
        <f t="shared" si="6"/>
        <v>0.15637208004036607</v>
      </c>
      <c r="K28" s="164">
        <f t="shared" si="6"/>
        <v>0.1678433977301951</v>
      </c>
      <c r="L28" s="164">
        <f t="shared" ref="L28:L34" si="7">L10/L$18</f>
        <v>0.19972234169460434</v>
      </c>
      <c r="M28" s="164">
        <f t="shared" ref="M28:AH28" si="8">M10/M$18</f>
        <v>0.21553043596688076</v>
      </c>
      <c r="N28" s="185">
        <f t="shared" si="8"/>
        <v>0.21748616345245791</v>
      </c>
      <c r="O28" s="164">
        <f t="shared" si="8"/>
        <v>0.22682194887099047</v>
      </c>
      <c r="P28" s="164">
        <f t="shared" si="8"/>
        <v>0.23204152744450662</v>
      </c>
      <c r="Q28" s="164">
        <f t="shared" si="8"/>
        <v>0.23390908232979143</v>
      </c>
      <c r="R28" s="164">
        <f t="shared" si="8"/>
        <v>0.23862168482170293</v>
      </c>
      <c r="S28" s="164">
        <f t="shared" si="8"/>
        <v>0.24308107378667876</v>
      </c>
      <c r="T28" s="164">
        <f t="shared" si="8"/>
        <v>0.25209001357116806</v>
      </c>
      <c r="U28" s="164">
        <f t="shared" si="8"/>
        <v>0.25568846547662955</v>
      </c>
      <c r="V28" s="164">
        <f t="shared" si="8"/>
        <v>0.25697685306078971</v>
      </c>
      <c r="W28" s="164">
        <f t="shared" si="8"/>
        <v>0.26161702116353835</v>
      </c>
      <c r="X28" s="185">
        <f t="shared" si="8"/>
        <v>0.26407007615244943</v>
      </c>
      <c r="Y28" s="172">
        <f t="shared" si="8"/>
        <v>0.26584442259122892</v>
      </c>
      <c r="Z28" s="172">
        <f t="shared" si="8"/>
        <v>0.27824481363688175</v>
      </c>
      <c r="AA28" s="172">
        <f t="shared" si="8"/>
        <v>0.28023053400304815</v>
      </c>
      <c r="AB28" s="172">
        <f t="shared" si="8"/>
        <v>0.28355539739251284</v>
      </c>
      <c r="AC28" s="172">
        <f t="shared" si="8"/>
        <v>0.28891088954125604</v>
      </c>
      <c r="AD28" s="172">
        <f t="shared" si="8"/>
        <v>0.27666155398640957</v>
      </c>
      <c r="AE28" s="172">
        <f t="shared" si="8"/>
        <v>0.27029350901785776</v>
      </c>
      <c r="AF28" s="172">
        <f t="shared" si="8"/>
        <v>0.27031652739850709</v>
      </c>
      <c r="AG28" s="172">
        <f t="shared" si="8"/>
        <v>0.27402054136103288</v>
      </c>
      <c r="AH28" s="172">
        <f t="shared" si="8"/>
        <v>0.27663625534732234</v>
      </c>
    </row>
    <row r="29" spans="1:34">
      <c r="A29" s="9" t="s">
        <v>50</v>
      </c>
      <c r="B29" s="37"/>
      <c r="C29" s="332">
        <f t="shared" ref="C29:K29" si="9">C11/C$18</f>
        <v>0</v>
      </c>
      <c r="D29" s="332">
        <f t="shared" si="9"/>
        <v>0</v>
      </c>
      <c r="E29" s="332">
        <f t="shared" si="9"/>
        <v>3.0500295611188646E-7</v>
      </c>
      <c r="F29" s="332">
        <f t="shared" si="9"/>
        <v>2.8621254715570191E-7</v>
      </c>
      <c r="G29" s="332">
        <f t="shared" si="9"/>
        <v>2.972924149757115E-7</v>
      </c>
      <c r="H29" s="164">
        <f t="shared" si="9"/>
        <v>3.2205508355740471E-7</v>
      </c>
      <c r="I29" s="164">
        <f t="shared" si="9"/>
        <v>3.0391405424459131E-7</v>
      </c>
      <c r="J29" s="164">
        <f t="shared" si="9"/>
        <v>3.8209951787829932E-7</v>
      </c>
      <c r="K29" s="164">
        <f t="shared" si="9"/>
        <v>5.0163839341845898E-7</v>
      </c>
      <c r="L29" s="164">
        <f t="shared" si="7"/>
        <v>5.6942551907789636E-7</v>
      </c>
      <c r="M29" s="164">
        <f t="shared" ref="M29:AH29" si="10">M11/M$18</f>
        <v>5.704924707789049E-7</v>
      </c>
      <c r="N29" s="185">
        <f t="shared" si="10"/>
        <v>5.6689304878704322E-7</v>
      </c>
      <c r="O29" s="164">
        <f t="shared" si="10"/>
        <v>6.0399590424442885E-7</v>
      </c>
      <c r="P29" s="164">
        <f t="shared" si="10"/>
        <v>6.7228856236923089E-7</v>
      </c>
      <c r="Q29" s="164">
        <f t="shared" si="10"/>
        <v>7.4906663163851581E-7</v>
      </c>
      <c r="R29" s="164">
        <f t="shared" si="10"/>
        <v>8.250395810275913E-7</v>
      </c>
      <c r="S29" s="164">
        <f t="shared" si="10"/>
        <v>9.0327084289655695E-7</v>
      </c>
      <c r="T29" s="164">
        <f t="shared" si="10"/>
        <v>9.7498839793490598E-7</v>
      </c>
      <c r="U29" s="164">
        <f t="shared" si="10"/>
        <v>1.0489447137242139E-6</v>
      </c>
      <c r="V29" s="164">
        <f t="shared" si="10"/>
        <v>1.0888280524345886E-6</v>
      </c>
      <c r="W29" s="164">
        <f t="shared" si="10"/>
        <v>1.1001990009445561E-6</v>
      </c>
      <c r="X29" s="185">
        <f t="shared" si="10"/>
        <v>1.1359146341145916E-6</v>
      </c>
      <c r="Y29" s="172">
        <f t="shared" si="10"/>
        <v>1.2260671982294657E-6</v>
      </c>
      <c r="Z29" s="172">
        <f t="shared" si="10"/>
        <v>1.375725253427242E-6</v>
      </c>
      <c r="AA29" s="172">
        <f t="shared" si="10"/>
        <v>1.5004901063653003E-6</v>
      </c>
      <c r="AB29" s="172">
        <f t="shared" si="10"/>
        <v>1.6229973570998199E-6</v>
      </c>
      <c r="AC29" s="172">
        <f t="shared" si="10"/>
        <v>1.6530124950380843E-6</v>
      </c>
      <c r="AD29" s="172">
        <f t="shared" si="10"/>
        <v>1.5802787165771058E-6</v>
      </c>
      <c r="AE29" s="172">
        <f t="shared" si="10"/>
        <v>1.5022511508543075E-6</v>
      </c>
      <c r="AF29" s="172">
        <f t="shared" si="10"/>
        <v>1.5046111923352123E-6</v>
      </c>
      <c r="AG29" s="172">
        <f t="shared" si="10"/>
        <v>1.5234491593017799E-6</v>
      </c>
      <c r="AH29" s="172">
        <f t="shared" si="10"/>
        <v>1.5019514723327839E-6</v>
      </c>
    </row>
    <row r="30" spans="1:34">
      <c r="A30" s="9" t="s">
        <v>51</v>
      </c>
      <c r="B30" s="37"/>
      <c r="C30" s="332">
        <f t="shared" ref="C30:K30" si="11">C12/C$18</f>
        <v>3.0995368576656909E-2</v>
      </c>
      <c r="D30" s="332">
        <f t="shared" si="11"/>
        <v>2.8004801688159719E-2</v>
      </c>
      <c r="E30" s="332">
        <f t="shared" si="11"/>
        <v>4.9852605300530553E-2</v>
      </c>
      <c r="F30" s="332">
        <f t="shared" si="11"/>
        <v>5.2795979142529099E-2</v>
      </c>
      <c r="G30" s="332">
        <f t="shared" si="11"/>
        <v>5.5086094327733835E-2</v>
      </c>
      <c r="H30" s="164">
        <f t="shared" si="11"/>
        <v>4.8895089829195423E-2</v>
      </c>
      <c r="I30" s="164">
        <f t="shared" si="11"/>
        <v>5.1564612305151171E-2</v>
      </c>
      <c r="J30" s="164">
        <f t="shared" si="11"/>
        <v>4.4493884957546428E-2</v>
      </c>
      <c r="K30" s="164">
        <f t="shared" si="11"/>
        <v>4.846722950547324E-2</v>
      </c>
      <c r="L30" s="164">
        <f t="shared" si="7"/>
        <v>3.7106217568362361E-2</v>
      </c>
      <c r="M30" s="164">
        <f t="shared" ref="M30:AH30" si="12">M12/M$18</f>
        <v>4.6354570307967059E-2</v>
      </c>
      <c r="N30" s="185">
        <f t="shared" si="12"/>
        <v>5.0663361404449804E-2</v>
      </c>
      <c r="O30" s="164">
        <f t="shared" si="12"/>
        <v>4.5692083695747419E-2</v>
      </c>
      <c r="P30" s="164">
        <f t="shared" si="12"/>
        <v>4.0546045038205761E-2</v>
      </c>
      <c r="Q30" s="164">
        <f t="shared" si="12"/>
        <v>4.484573831384079E-2</v>
      </c>
      <c r="R30" s="164">
        <f t="shared" si="12"/>
        <v>4.943594810418795E-2</v>
      </c>
      <c r="S30" s="164">
        <f t="shared" si="12"/>
        <v>3.9843409361214333E-2</v>
      </c>
      <c r="T30" s="164">
        <f t="shared" si="12"/>
        <v>4.3526494762371554E-2</v>
      </c>
      <c r="U30" s="164">
        <f t="shared" si="12"/>
        <v>4.3237598702737072E-2</v>
      </c>
      <c r="V30" s="164">
        <f t="shared" si="12"/>
        <v>4.3699582118115296E-2</v>
      </c>
      <c r="W30" s="164">
        <f t="shared" si="12"/>
        <v>3.816505718836629E-2</v>
      </c>
      <c r="X30" s="185">
        <f t="shared" si="12"/>
        <v>3.8180262783664175E-2</v>
      </c>
      <c r="Y30" s="172">
        <f t="shared" si="12"/>
        <v>4.271561115560768E-2</v>
      </c>
      <c r="Z30" s="172">
        <f t="shared" si="12"/>
        <v>3.7093855428904067E-2</v>
      </c>
      <c r="AA30" s="172">
        <f t="shared" si="12"/>
        <v>4.1494980644698413E-2</v>
      </c>
      <c r="AB30" s="172">
        <f t="shared" si="12"/>
        <v>4.1111402579035172E-2</v>
      </c>
      <c r="AC30" s="172">
        <f t="shared" si="12"/>
        <v>3.6049140154589848E-2</v>
      </c>
      <c r="AD30" s="172">
        <f t="shared" si="12"/>
        <v>3.8263162011883955E-2</v>
      </c>
      <c r="AE30" s="172">
        <f t="shared" si="12"/>
        <v>3.1632818290725728E-2</v>
      </c>
      <c r="AF30" s="172">
        <f t="shared" si="12"/>
        <v>3.1021652216115674E-2</v>
      </c>
      <c r="AG30" s="172">
        <f t="shared" si="12"/>
        <v>3.0624590276816709E-2</v>
      </c>
      <c r="AH30" s="172">
        <f t="shared" si="12"/>
        <v>3.0720878878144328E-2</v>
      </c>
    </row>
    <row r="31" spans="1:34">
      <c r="A31" s="9" t="s">
        <v>347</v>
      </c>
      <c r="B31" s="37"/>
      <c r="C31" s="332">
        <f t="shared" ref="C31:K31" si="13">C13/C$18</f>
        <v>0</v>
      </c>
      <c r="D31" s="332">
        <f t="shared" si="13"/>
        <v>0</v>
      </c>
      <c r="E31" s="332">
        <f t="shared" si="13"/>
        <v>3.1218316899886022E-6</v>
      </c>
      <c r="F31" s="332">
        <f t="shared" si="13"/>
        <v>2.8170526294852551E-6</v>
      </c>
      <c r="G31" s="332">
        <f t="shared" si="13"/>
        <v>2.4634005404680542E-6</v>
      </c>
      <c r="H31" s="164">
        <f t="shared" si="13"/>
        <v>2.4463701055891871E-6</v>
      </c>
      <c r="I31" s="164">
        <f t="shared" si="13"/>
        <v>2.3085686111824907E-6</v>
      </c>
      <c r="J31" s="164">
        <f t="shared" si="13"/>
        <v>2.2263316805958685E-6</v>
      </c>
      <c r="K31" s="164">
        <f t="shared" si="13"/>
        <v>2.183177430817304E-6</v>
      </c>
      <c r="L31" s="164">
        <f t="shared" si="7"/>
        <v>2.1260711099632302E-6</v>
      </c>
      <c r="M31" s="164">
        <f t="shared" ref="M31:AH31" si="14">M13/M$18</f>
        <v>2.0563870974655818E-6</v>
      </c>
      <c r="N31" s="185">
        <f t="shared" si="14"/>
        <v>2.0389657967729463E-6</v>
      </c>
      <c r="O31" s="164">
        <f t="shared" si="14"/>
        <v>2.0268193108345767E-6</v>
      </c>
      <c r="P31" s="164">
        <f t="shared" si="14"/>
        <v>2.025954117277801E-6</v>
      </c>
      <c r="Q31" s="164">
        <f t="shared" si="14"/>
        <v>2.0092177921425539E-6</v>
      </c>
      <c r="R31" s="164">
        <f t="shared" si="14"/>
        <v>1.9833361624228505E-6</v>
      </c>
      <c r="S31" s="164">
        <f t="shared" si="14"/>
        <v>1.9957078476990389E-6</v>
      </c>
      <c r="T31" s="164">
        <f t="shared" si="14"/>
        <v>1.9574320673848609E-6</v>
      </c>
      <c r="U31" s="164">
        <f t="shared" si="14"/>
        <v>1.9454442235468725E-6</v>
      </c>
      <c r="V31" s="164">
        <f t="shared" si="14"/>
        <v>1.9393002071488811E-6</v>
      </c>
      <c r="W31" s="164">
        <f t="shared" si="14"/>
        <v>1.9412729993851797E-6</v>
      </c>
      <c r="X31" s="185">
        <f t="shared" si="14"/>
        <v>1.9321200557815587E-6</v>
      </c>
      <c r="Y31" s="172">
        <f t="shared" si="14"/>
        <v>1.9118768186171446E-6</v>
      </c>
      <c r="Z31" s="172">
        <f t="shared" si="14"/>
        <v>1.89042971676675E-6</v>
      </c>
      <c r="AA31" s="172">
        <f t="shared" si="14"/>
        <v>1.8699590455273539E-6</v>
      </c>
      <c r="AB31" s="172">
        <f t="shared" si="14"/>
        <v>1.8501228824435025E-6</v>
      </c>
      <c r="AC31" s="172">
        <f t="shared" si="14"/>
        <v>1.8412804778494233E-6</v>
      </c>
      <c r="AD31" s="172">
        <f t="shared" si="14"/>
        <v>1.7264504573189992E-6</v>
      </c>
      <c r="AE31" s="172">
        <f t="shared" si="14"/>
        <v>1.617446847549582E-6</v>
      </c>
      <c r="AF31" s="172">
        <f t="shared" si="14"/>
        <v>1.5838370164623324E-6</v>
      </c>
      <c r="AG31" s="172">
        <f t="shared" si="14"/>
        <v>1.5643105945577529E-6</v>
      </c>
      <c r="AH31" s="172">
        <f t="shared" si="14"/>
        <v>0</v>
      </c>
    </row>
    <row r="32" spans="1:34">
      <c r="A32" s="9" t="s">
        <v>348</v>
      </c>
      <c r="B32" s="37"/>
      <c r="C32" s="332">
        <f t="shared" ref="C32:K32" si="15">C14/C$18</f>
        <v>0</v>
      </c>
      <c r="D32" s="332">
        <f t="shared" si="15"/>
        <v>0</v>
      </c>
      <c r="E32" s="332">
        <f t="shared" si="15"/>
        <v>1.5609158449943011E-6</v>
      </c>
      <c r="F32" s="332">
        <f t="shared" si="15"/>
        <v>1.4085263147426276E-6</v>
      </c>
      <c r="G32" s="332">
        <f t="shared" si="15"/>
        <v>1.2317002702340271E-6</v>
      </c>
      <c r="H32" s="164">
        <f t="shared" si="15"/>
        <v>1.2231850527945935E-6</v>
      </c>
      <c r="I32" s="164">
        <f t="shared" si="15"/>
        <v>1.1542843055912453E-6</v>
      </c>
      <c r="J32" s="164">
        <f t="shared" si="15"/>
        <v>1.1131658402979343E-6</v>
      </c>
      <c r="K32" s="164">
        <f t="shared" si="15"/>
        <v>1.091588715408652E-6</v>
      </c>
      <c r="L32" s="164">
        <f t="shared" si="7"/>
        <v>1.0630355549816151E-6</v>
      </c>
      <c r="M32" s="164">
        <f t="shared" ref="M32:AH32" si="16">M14/M$18</f>
        <v>1.0281935487327909E-6</v>
      </c>
      <c r="N32" s="185">
        <f t="shared" si="16"/>
        <v>1.0194828983864731E-6</v>
      </c>
      <c r="O32" s="164">
        <f t="shared" si="16"/>
        <v>1.0134096554172883E-6</v>
      </c>
      <c r="P32" s="164">
        <f t="shared" si="16"/>
        <v>1.0129770586389005E-6</v>
      </c>
      <c r="Q32" s="164">
        <f t="shared" si="16"/>
        <v>1.0046088960712769E-6</v>
      </c>
      <c r="R32" s="164">
        <f t="shared" si="16"/>
        <v>9.9166808121142526E-7</v>
      </c>
      <c r="S32" s="164">
        <f t="shared" si="16"/>
        <v>9.9785392384951946E-7</v>
      </c>
      <c r="T32" s="164">
        <f t="shared" si="16"/>
        <v>9.7871603369243046E-7</v>
      </c>
      <c r="U32" s="164">
        <f t="shared" si="16"/>
        <v>9.7272211177343624E-7</v>
      </c>
      <c r="V32" s="164">
        <f t="shared" si="16"/>
        <v>9.6965010357444055E-7</v>
      </c>
      <c r="W32" s="164">
        <f t="shared" si="16"/>
        <v>9.7063649969258985E-7</v>
      </c>
      <c r="X32" s="185">
        <f t="shared" si="16"/>
        <v>9.6606002789077934E-7</v>
      </c>
      <c r="Y32" s="172">
        <f t="shared" si="16"/>
        <v>9.5593840930857232E-7</v>
      </c>
      <c r="Z32" s="172">
        <f t="shared" si="16"/>
        <v>9.4521485838337502E-7</v>
      </c>
      <c r="AA32" s="172">
        <f t="shared" si="16"/>
        <v>9.3497952276367695E-7</v>
      </c>
      <c r="AB32" s="172">
        <f t="shared" si="16"/>
        <v>9.2506144122175125E-7</v>
      </c>
      <c r="AC32" s="172">
        <f t="shared" si="16"/>
        <v>9.2064023892471167E-7</v>
      </c>
      <c r="AD32" s="172">
        <f t="shared" si="16"/>
        <v>8.6322522865949962E-7</v>
      </c>
      <c r="AE32" s="172">
        <f t="shared" si="16"/>
        <v>8.0872342377479102E-7</v>
      </c>
      <c r="AF32" s="172">
        <f t="shared" si="16"/>
        <v>7.919185082311662E-7</v>
      </c>
      <c r="AG32" s="172">
        <f t="shared" si="16"/>
        <v>7.8215529727887644E-7</v>
      </c>
      <c r="AH32" s="172">
        <f t="shared" si="16"/>
        <v>7.6882123015001926E-7</v>
      </c>
    </row>
    <row r="33" spans="1:36">
      <c r="A33" s="9" t="s">
        <v>344</v>
      </c>
      <c r="B33" s="37"/>
      <c r="C33" s="332">
        <f t="shared" ref="C33:K33" si="17">C15/C$18</f>
        <v>1.9868826010677506E-6</v>
      </c>
      <c r="D33" s="332">
        <f t="shared" si="17"/>
        <v>1.5137730642248497E-6</v>
      </c>
      <c r="E33" s="332">
        <f t="shared" si="17"/>
        <v>1.5609158449943011E-6</v>
      </c>
      <c r="F33" s="332">
        <f t="shared" si="17"/>
        <v>1.4085263147426276E-6</v>
      </c>
      <c r="G33" s="332">
        <f t="shared" si="17"/>
        <v>1.2317002702340271E-6</v>
      </c>
      <c r="H33" s="164">
        <f t="shared" si="17"/>
        <v>1.2231850527945935E-6</v>
      </c>
      <c r="I33" s="164">
        <f t="shared" si="17"/>
        <v>1.1542843055912453E-6</v>
      </c>
      <c r="J33" s="164">
        <f t="shared" si="17"/>
        <v>1.1131658402979343E-6</v>
      </c>
      <c r="K33" s="164">
        <f t="shared" si="17"/>
        <v>1.091588715408652E-6</v>
      </c>
      <c r="L33" s="164">
        <f t="shared" si="7"/>
        <v>1.0630355549816151E-6</v>
      </c>
      <c r="M33" s="164">
        <f t="shared" ref="M33:AH33" si="18">M15/M$18</f>
        <v>1.0281935487327909E-6</v>
      </c>
      <c r="N33" s="185">
        <f t="shared" si="18"/>
        <v>1.0194828983864731E-6</v>
      </c>
      <c r="O33" s="164">
        <f t="shared" si="18"/>
        <v>1.0134096554172883E-6</v>
      </c>
      <c r="P33" s="164">
        <f t="shared" si="18"/>
        <v>1.0129770586389005E-6</v>
      </c>
      <c r="Q33" s="164">
        <f t="shared" si="18"/>
        <v>1.0046088960712769E-6</v>
      </c>
      <c r="R33" s="164">
        <f t="shared" si="18"/>
        <v>9.9166808121142526E-7</v>
      </c>
      <c r="S33" s="164">
        <f t="shared" si="18"/>
        <v>9.9785392384951946E-7</v>
      </c>
      <c r="T33" s="164">
        <f t="shared" si="18"/>
        <v>9.7871603369243046E-7</v>
      </c>
      <c r="U33" s="164">
        <f t="shared" si="18"/>
        <v>9.7272211177343624E-7</v>
      </c>
      <c r="V33" s="164">
        <f t="shared" si="18"/>
        <v>9.6965010357444055E-7</v>
      </c>
      <c r="W33" s="164">
        <f t="shared" si="18"/>
        <v>9.7063649969258985E-7</v>
      </c>
      <c r="X33" s="185">
        <f t="shared" si="18"/>
        <v>9.6606002789077934E-7</v>
      </c>
      <c r="Y33" s="172">
        <f t="shared" si="18"/>
        <v>9.5593840930857232E-7</v>
      </c>
      <c r="Z33" s="172">
        <f t="shared" si="18"/>
        <v>9.4521485838337502E-7</v>
      </c>
      <c r="AA33" s="172">
        <f t="shared" si="18"/>
        <v>9.3497952276367695E-7</v>
      </c>
      <c r="AB33" s="172">
        <f t="shared" si="18"/>
        <v>9.2506144122175125E-7</v>
      </c>
      <c r="AC33" s="172">
        <f t="shared" si="18"/>
        <v>9.2064023892471167E-7</v>
      </c>
      <c r="AD33" s="172">
        <f t="shared" si="18"/>
        <v>8.6322522865949962E-7</v>
      </c>
      <c r="AE33" s="172">
        <f t="shared" si="18"/>
        <v>8.0872342377479102E-7</v>
      </c>
      <c r="AF33" s="172">
        <f t="shared" si="18"/>
        <v>7.919185082311662E-7</v>
      </c>
      <c r="AG33" s="172">
        <f t="shared" si="18"/>
        <v>7.8215529727887644E-7</v>
      </c>
      <c r="AH33" s="172">
        <f t="shared" si="18"/>
        <v>7.6882123015001926E-7</v>
      </c>
    </row>
    <row r="34" spans="1:36">
      <c r="A34" s="9" t="s">
        <v>53</v>
      </c>
      <c r="B34" s="37"/>
      <c r="C34" s="332">
        <f t="shared" ref="C34:K34" si="19">C16/C$18</f>
        <v>0.70971446510140057</v>
      </c>
      <c r="D34" s="332">
        <f t="shared" si="19"/>
        <v>0.71828531897469117</v>
      </c>
      <c r="E34" s="332">
        <f t="shared" si="19"/>
        <v>0.74931181356425414</v>
      </c>
      <c r="F34" s="332">
        <f t="shared" si="19"/>
        <v>0.77176847123693193</v>
      </c>
      <c r="G34" s="332">
        <f t="shared" si="19"/>
        <v>0.7941361626628215</v>
      </c>
      <c r="H34" s="164">
        <f t="shared" si="19"/>
        <v>0.79109163029526086</v>
      </c>
      <c r="I34" s="164">
        <f t="shared" si="19"/>
        <v>0.79874557834966908</v>
      </c>
      <c r="J34" s="164">
        <f t="shared" si="19"/>
        <v>0.79912920023920853</v>
      </c>
      <c r="K34" s="164">
        <f t="shared" si="19"/>
        <v>0.78368450477107654</v>
      </c>
      <c r="L34" s="164">
        <f t="shared" si="7"/>
        <v>0.76316661916929418</v>
      </c>
      <c r="M34" s="164">
        <f t="shared" ref="M34:AH34" si="20">M16/M$18</f>
        <v>0.73811031045848641</v>
      </c>
      <c r="N34" s="185">
        <f t="shared" si="20"/>
        <v>0.73184583031844985</v>
      </c>
      <c r="O34" s="164">
        <f t="shared" si="20"/>
        <v>0.72748130979873615</v>
      </c>
      <c r="P34" s="164">
        <f t="shared" si="20"/>
        <v>0.72740770332049076</v>
      </c>
      <c r="Q34" s="164">
        <f t="shared" si="20"/>
        <v>0.72124041185415189</v>
      </c>
      <c r="R34" s="164">
        <f t="shared" si="20"/>
        <v>0.71193757536220315</v>
      </c>
      <c r="S34" s="164">
        <f t="shared" si="20"/>
        <v>0.71707062216556861</v>
      </c>
      <c r="T34" s="164">
        <f t="shared" si="20"/>
        <v>0.70437860181392775</v>
      </c>
      <c r="U34" s="164">
        <f t="shared" si="20"/>
        <v>0.70106899598747252</v>
      </c>
      <c r="V34" s="164">
        <f t="shared" si="20"/>
        <v>0.69931859739262825</v>
      </c>
      <c r="W34" s="164">
        <f t="shared" si="20"/>
        <v>0.70021293890309566</v>
      </c>
      <c r="X34" s="185">
        <f t="shared" si="20"/>
        <v>0.69774466090914067</v>
      </c>
      <c r="Y34" s="172">
        <f t="shared" si="20"/>
        <v>0.6914349164323278</v>
      </c>
      <c r="Z34" s="172">
        <f t="shared" si="20"/>
        <v>0.68465617434952708</v>
      </c>
      <c r="AA34" s="172">
        <f t="shared" si="20"/>
        <v>0.67826924494405594</v>
      </c>
      <c r="AB34" s="172">
        <f t="shared" si="20"/>
        <v>0.67532787678533002</v>
      </c>
      <c r="AC34" s="172">
        <f t="shared" si="20"/>
        <v>0.67503463473070346</v>
      </c>
      <c r="AD34" s="172">
        <f t="shared" si="20"/>
        <v>0.68507025082207529</v>
      </c>
      <c r="AE34" s="172">
        <f t="shared" si="20"/>
        <v>0.69806893554657057</v>
      </c>
      <c r="AF34" s="172">
        <f t="shared" si="20"/>
        <v>0.69865714810015189</v>
      </c>
      <c r="AG34" s="172">
        <f t="shared" si="20"/>
        <v>0.69535021629180194</v>
      </c>
      <c r="AH34" s="172">
        <f t="shared" si="20"/>
        <v>0.6926398261806006</v>
      </c>
    </row>
    <row r="35" spans="1:36">
      <c r="A35" s="10"/>
      <c r="B35" s="37"/>
      <c r="C35" s="332"/>
      <c r="D35" s="332"/>
      <c r="E35" s="332"/>
      <c r="F35" s="332"/>
      <c r="G35" s="332"/>
      <c r="H35" s="164"/>
      <c r="I35" s="164"/>
      <c r="J35" s="164"/>
      <c r="K35" s="164"/>
      <c r="L35" s="164"/>
      <c r="M35" s="164"/>
      <c r="N35" s="183"/>
      <c r="O35" s="164"/>
      <c r="P35" s="164"/>
      <c r="Q35" s="164"/>
      <c r="R35" s="164"/>
      <c r="S35" s="164"/>
      <c r="T35" s="164"/>
      <c r="U35" s="164"/>
      <c r="V35" s="164"/>
      <c r="W35" s="164"/>
      <c r="X35" s="185"/>
    </row>
    <row r="36" spans="1:36">
      <c r="A36" s="10"/>
      <c r="B36" s="37"/>
      <c r="C36" s="332"/>
      <c r="D36" s="332"/>
      <c r="E36" s="332"/>
      <c r="F36" s="332"/>
      <c r="G36" s="332"/>
      <c r="H36" s="164"/>
      <c r="I36" s="164"/>
      <c r="J36" s="164"/>
      <c r="K36" s="164"/>
      <c r="L36" s="164"/>
      <c r="M36" s="164"/>
      <c r="N36" s="183"/>
      <c r="O36" s="164"/>
      <c r="P36" s="164"/>
      <c r="Q36" s="164"/>
      <c r="R36" s="164"/>
      <c r="S36" s="164"/>
      <c r="T36" s="164"/>
      <c r="U36" s="164"/>
      <c r="V36" s="164"/>
      <c r="W36" s="164"/>
      <c r="X36" s="185"/>
    </row>
    <row r="37" spans="1:36">
      <c r="A37" s="10"/>
      <c r="B37" s="37"/>
      <c r="C37" s="332"/>
      <c r="D37" s="332"/>
      <c r="E37" s="332"/>
      <c r="F37" s="332"/>
      <c r="G37" s="332"/>
      <c r="H37" s="164"/>
      <c r="I37" s="164"/>
      <c r="J37" s="164"/>
      <c r="K37" s="164"/>
      <c r="L37" s="164"/>
      <c r="M37" s="164"/>
      <c r="N37" s="183"/>
      <c r="O37" s="164"/>
      <c r="P37" s="164"/>
      <c r="Q37" s="164"/>
      <c r="R37" s="164"/>
      <c r="S37" s="164"/>
      <c r="T37" s="164"/>
      <c r="U37" s="164"/>
      <c r="V37" s="164"/>
      <c r="W37" s="164"/>
      <c r="X37" s="185"/>
    </row>
    <row r="38" spans="1:36">
      <c r="A38" s="10"/>
      <c r="B38" s="37"/>
      <c r="C38" s="332"/>
      <c r="D38" s="332"/>
      <c r="E38" s="332"/>
      <c r="F38" s="332"/>
      <c r="G38" s="332"/>
      <c r="H38" s="164"/>
      <c r="I38" s="164"/>
      <c r="J38" s="164"/>
      <c r="K38" s="164"/>
      <c r="L38" s="164"/>
      <c r="M38" s="164"/>
      <c r="N38" s="183"/>
      <c r="O38" s="164"/>
      <c r="P38" s="164"/>
      <c r="Q38" s="164"/>
      <c r="R38" s="164"/>
      <c r="S38" s="164"/>
      <c r="T38" s="164"/>
      <c r="U38" s="164"/>
      <c r="V38" s="164"/>
      <c r="W38" s="164"/>
      <c r="X38" s="185"/>
    </row>
    <row r="39" spans="1:36">
      <c r="A39" s="1" t="s">
        <v>139</v>
      </c>
      <c r="B39" s="13"/>
      <c r="D39" s="333"/>
      <c r="E39" s="333"/>
      <c r="F39" s="333"/>
      <c r="G39" s="333"/>
      <c r="H39" s="16"/>
      <c r="I39" s="16"/>
      <c r="J39" s="16"/>
      <c r="K39" s="16"/>
      <c r="L39" s="16"/>
      <c r="M39" s="16"/>
      <c r="N39" s="389" t="s">
        <v>0</v>
      </c>
    </row>
    <row r="40" spans="1:36" ht="15">
      <c r="A40" s="8" t="s">
        <v>61</v>
      </c>
      <c r="B40" s="34">
        <v>0</v>
      </c>
      <c r="C40" s="331">
        <f>C5*Inputs!$C$44</f>
        <v>0</v>
      </c>
      <c r="D40" s="331">
        <f>D5*Inputs!$C$44</f>
        <v>0</v>
      </c>
      <c r="E40" s="331">
        <f>E5*Inputs!$C$44</f>
        <v>0</v>
      </c>
      <c r="F40" s="331">
        <f>F5*Inputs!$C$44</f>
        <v>0</v>
      </c>
      <c r="G40" s="331">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1">
        <f>C6*Inputs!$C$47</f>
        <v>0</v>
      </c>
      <c r="D41" s="331">
        <f>D6*Inputs!$C$47</f>
        <v>0</v>
      </c>
      <c r="E41" s="331" t="s">
        <v>377</v>
      </c>
      <c r="F41" s="331">
        <f>F6*Inputs!$C$47</f>
        <v>0</v>
      </c>
      <c r="G41" s="331">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1">
        <f>C7*Inputs!$C$48</f>
        <v>10939.9485</v>
      </c>
      <c r="D42" s="331">
        <f>D7*Inputs!$C$48</f>
        <v>10243.1985</v>
      </c>
      <c r="E42" s="331">
        <f>E7*Inputs!$C$48</f>
        <v>13383.330577500001</v>
      </c>
      <c r="F42" s="331">
        <f>F7*Inputs!$C$48</f>
        <v>12580.050847500001</v>
      </c>
      <c r="G42" s="331">
        <f>G7*Inputs!$C$48</f>
        <v>10345.9298925</v>
      </c>
      <c r="H42" s="14">
        <f>H7*Inputs!$C$48</f>
        <v>10565.985607500001</v>
      </c>
      <c r="I42" s="14">
        <f>I7*Inputs!$C$48</f>
        <v>10740.055245</v>
      </c>
      <c r="J42" s="14">
        <f>J7*Inputs!$C$48</f>
        <v>10929.719115</v>
      </c>
      <c r="K42" s="14">
        <f>K7*Inputs!$C$48</f>
        <v>11063.0720325</v>
      </c>
      <c r="L42" s="14">
        <f>L7*Inputs!$C$48</f>
        <v>11015.6398125</v>
      </c>
      <c r="M42" s="14">
        <f>M7*Inputs!$C$48</f>
        <v>11015.643442500001</v>
      </c>
      <c r="N42" s="190">
        <f>N7*Inputs!$C$48</f>
        <v>11015.6398125</v>
      </c>
      <c r="O42" s="14">
        <f>O7*Inputs!$C$48</f>
        <v>11072.607712500001</v>
      </c>
      <c r="P42" s="14">
        <f>P7*Inputs!$C$48</f>
        <v>11072.604082500002</v>
      </c>
      <c r="Q42" s="14">
        <f>Q7*Inputs!$C$48</f>
        <v>11072.602845000001</v>
      </c>
      <c r="R42" s="14">
        <f>R7*Inputs!$C$48</f>
        <v>11072.602845000001</v>
      </c>
      <c r="S42" s="14">
        <f>S7*Inputs!$C$48</f>
        <v>11072.602845000001</v>
      </c>
      <c r="T42" s="14">
        <f>T7*Inputs!$C$48</f>
        <v>11072.601525000002</v>
      </c>
      <c r="U42" s="14">
        <f>U7*Inputs!$C$48</f>
        <v>11072.601525000002</v>
      </c>
      <c r="V42" s="14">
        <f>V7*Inputs!$C$48</f>
        <v>11072.601525000002</v>
      </c>
      <c r="W42" s="14">
        <f>W7*Inputs!$C$48</f>
        <v>11139.482955000001</v>
      </c>
      <c r="X42" s="187">
        <f>X7*Inputs!$C$48</f>
        <v>11139.482955000001</v>
      </c>
      <c r="Y42" s="14">
        <f>Y7*Inputs!$C$48</f>
        <v>11153.993715000001</v>
      </c>
      <c r="Z42" s="14">
        <f>Z7*Inputs!$C$48</f>
        <v>11153.993797499999</v>
      </c>
      <c r="AA42" s="14">
        <f>AA7*Inputs!$C$48</f>
        <v>11153.993797499999</v>
      </c>
      <c r="AB42" s="14">
        <f>AB7*Inputs!$C$48</f>
        <v>11153.993797499999</v>
      </c>
      <c r="AC42" s="14">
        <f>AC7*Inputs!$C$48</f>
        <v>11175.345127499999</v>
      </c>
      <c r="AD42" s="14">
        <f>AD7*Inputs!$C$48</f>
        <v>11175.348839999999</v>
      </c>
      <c r="AE42" s="14">
        <f>AE7*Inputs!$C$48</f>
        <v>11175.346282500002</v>
      </c>
      <c r="AF42" s="14">
        <f>AF7*Inputs!$C$48</f>
        <v>11175.3424875</v>
      </c>
      <c r="AG42" s="14">
        <f>AG7*Inputs!$C$48</f>
        <v>11226.914970000002</v>
      </c>
      <c r="AH42" s="14">
        <f>AH7*Inputs!$C$48</f>
        <v>11226.913815000002</v>
      </c>
    </row>
    <row r="43" spans="1:36" ht="15">
      <c r="A43" s="8" t="s">
        <v>59</v>
      </c>
      <c r="B43" s="34">
        <v>0</v>
      </c>
      <c r="C43" s="331">
        <f>C8*Inputs!$C$53</f>
        <v>928.7600000000001</v>
      </c>
      <c r="D43" s="331">
        <f>D8*Inputs!$C$53</f>
        <v>1293.7400000000002</v>
      </c>
      <c r="E43" s="331">
        <f>E8*Inputs!$C$53</f>
        <v>672.84</v>
      </c>
      <c r="F43" s="331">
        <f>F8*Inputs!$C$53</f>
        <v>1306.7600000000002</v>
      </c>
      <c r="G43" s="331">
        <f>G8*Inputs!$C$53</f>
        <v>1092.83356</v>
      </c>
      <c r="H43" s="14">
        <f>H8*Inputs!$C$53</f>
        <v>1102.60374</v>
      </c>
      <c r="I43" s="14">
        <f>I8*Inputs!$C$53</f>
        <v>1136.0990200000001</v>
      </c>
      <c r="J43" s="14">
        <f>J8*Inputs!$C$53</f>
        <v>1145.8696199999999</v>
      </c>
      <c r="K43" s="14">
        <f>K8*Inputs!$C$53</f>
        <v>1145.8696199999999</v>
      </c>
      <c r="L43" s="14">
        <f>L8*Inputs!$C$53</f>
        <v>1145.8696199999999</v>
      </c>
      <c r="M43" s="14">
        <f>M8*Inputs!$C$53</f>
        <v>1145.8696199999999</v>
      </c>
      <c r="N43" s="190">
        <f>N8*Inputs!$C$53</f>
        <v>1145.8696199999999</v>
      </c>
      <c r="O43" s="14">
        <f>O8*Inputs!$C$53</f>
        <v>1145.8696199999999</v>
      </c>
      <c r="P43" s="14">
        <f>P8*Inputs!$C$53</f>
        <v>1145.8696199999999</v>
      </c>
      <c r="Q43" s="14">
        <f>Q8*Inputs!$C$53</f>
        <v>1145.8696199999999</v>
      </c>
      <c r="R43" s="14">
        <f>R8*Inputs!$C$53</f>
        <v>1145.8696199999999</v>
      </c>
      <c r="S43" s="14">
        <f>S8*Inputs!$C$53</f>
        <v>1145.8696199999999</v>
      </c>
      <c r="T43" s="14">
        <f>T8*Inputs!$C$53</f>
        <v>1145.8696199999999</v>
      </c>
      <c r="U43" s="14">
        <f>U8*Inputs!$C$53</f>
        <v>1145.8696199999999</v>
      </c>
      <c r="V43" s="14">
        <f>V8*Inputs!$C$53</f>
        <v>1145.8696199999999</v>
      </c>
      <c r="W43" s="14">
        <f>W8*Inputs!$C$53</f>
        <v>1145.8696199999999</v>
      </c>
      <c r="X43" s="187">
        <f>X8*Inputs!$C$53</f>
        <v>1145.8696199999999</v>
      </c>
      <c r="Y43" s="14">
        <f>Y8*Inputs!$C$53</f>
        <v>1145.8696199999999</v>
      </c>
      <c r="Z43" s="14">
        <f>Z8*Inputs!$C$53</f>
        <v>1145.8696199999999</v>
      </c>
      <c r="AA43" s="14">
        <f>AA8*Inputs!$C$53</f>
        <v>1145.8696199999999</v>
      </c>
      <c r="AB43" s="14">
        <f>AB8*Inputs!$C$53</f>
        <v>1145.8696199999999</v>
      </c>
      <c r="AC43" s="14">
        <f>AC8*Inputs!$C$53</f>
        <v>1145.8696199999999</v>
      </c>
      <c r="AD43" s="14">
        <f>AD8*Inputs!$C$53</f>
        <v>1145.8696199999999</v>
      </c>
      <c r="AE43" s="14">
        <f>AE8*Inputs!$C$53</f>
        <v>1145.8696199999999</v>
      </c>
      <c r="AF43" s="14">
        <f>AF8*Inputs!$C$53</f>
        <v>1145.8696199999999</v>
      </c>
      <c r="AG43" s="14">
        <f>AG8*Inputs!$C$53</f>
        <v>1145.8696199999999</v>
      </c>
      <c r="AH43" s="14">
        <f>AH8*Inputs!$C$53</f>
        <v>1145.8696199999999</v>
      </c>
    </row>
    <row r="44" spans="1:36" ht="15">
      <c r="A44" s="8" t="s">
        <v>121</v>
      </c>
      <c r="B44" s="34">
        <v>1</v>
      </c>
      <c r="C44" s="331">
        <f>C10*Inputs!$C$46</f>
        <v>274.05</v>
      </c>
      <c r="D44" s="331">
        <f>D10*Inputs!$C$46</f>
        <v>351.96</v>
      </c>
      <c r="E44" s="331">
        <f>E10*Inputs!$C$46</f>
        <v>270.18815238318393</v>
      </c>
      <c r="F44" s="331">
        <f>F10*Inputs!$C$46</f>
        <v>261.55153629703761</v>
      </c>
      <c r="G44" s="331">
        <f>G10*Inputs!$C$46</f>
        <v>257.06115146287419</v>
      </c>
      <c r="H44" s="14">
        <f>H10*Inputs!$C$46</f>
        <v>274.70654248172002</v>
      </c>
      <c r="I44" s="14">
        <f>I10*Inputs!$C$46</f>
        <v>272.32308703719815</v>
      </c>
      <c r="J44" s="14">
        <f>J10*Inputs!$C$46</f>
        <v>294.99770492137884</v>
      </c>
      <c r="K44" s="14">
        <f>K10*Inputs!$C$46</f>
        <v>322.89737907510073</v>
      </c>
      <c r="L44" s="14">
        <f>L10*Inputs!$C$46</f>
        <v>394.54646233909165</v>
      </c>
      <c r="M44" s="14">
        <f>M10*Inputs!$C$46</f>
        <v>440.20302995314336</v>
      </c>
      <c r="N44" s="190">
        <f>N10*Inputs!$C$46</f>
        <v>447.99274610001794</v>
      </c>
      <c r="O44" s="14">
        <f>O10*Inputs!$C$46</f>
        <v>470.02324290362594</v>
      </c>
      <c r="P44" s="14">
        <f>P10*Inputs!$C$46</f>
        <v>481.04466283591211</v>
      </c>
      <c r="Q44" s="14">
        <f>Q10*Inputs!$C$46</f>
        <v>488.95552768199923</v>
      </c>
      <c r="R44" s="14">
        <f>R10*Inputs!$C$46</f>
        <v>505.31578823574091</v>
      </c>
      <c r="S44" s="14">
        <f>S10*Inputs!$C$46</f>
        <v>511.56811909175434</v>
      </c>
      <c r="T44" s="14">
        <f>T10*Inputs!$C$46</f>
        <v>540.90155905815857</v>
      </c>
      <c r="U44" s="14">
        <f>U10*Inputs!$C$46</f>
        <v>552.00326074831321</v>
      </c>
      <c r="V44" s="14">
        <f>V10*Inputs!$C$46</f>
        <v>556.5423954871253</v>
      </c>
      <c r="W44" s="14">
        <f>W10*Inputs!$C$46</f>
        <v>566.01595408521064</v>
      </c>
      <c r="X44" s="187">
        <f>X10*Inputs!$C$46</f>
        <v>574.02971234706729</v>
      </c>
      <c r="Y44" s="14">
        <f>Y10*Inputs!$C$46</f>
        <v>584.00549868623682</v>
      </c>
      <c r="Z44" s="14">
        <f>Z10*Inputs!$C$46</f>
        <v>618.18125630908821</v>
      </c>
      <c r="AA44" s="14">
        <f>AA10*Inputs!$C$46</f>
        <v>629.40856679611454</v>
      </c>
      <c r="AB44" s="14">
        <f>AB10*Inputs!$C$46</f>
        <v>643.70463191918361</v>
      </c>
      <c r="AC44" s="14">
        <f>AC10*Inputs!$C$46</f>
        <v>659.01189453251084</v>
      </c>
      <c r="AD44" s="14">
        <f>AD10*Inputs!$C$46</f>
        <v>673.04481389367743</v>
      </c>
      <c r="AE44" s="14">
        <f>AE10*Inputs!$C$46</f>
        <v>701.86710592367865</v>
      </c>
      <c r="AF44" s="14">
        <f>AF10*Inputs!$C$46</f>
        <v>716.82212454511773</v>
      </c>
      <c r="AG44" s="14">
        <f>AG10*Inputs!$C$46</f>
        <v>735.71468333736232</v>
      </c>
      <c r="AH44" s="14">
        <f>AH10*Inputs!$C$46</f>
        <v>755.61926940547608</v>
      </c>
    </row>
    <row r="45" spans="1:36" ht="15">
      <c r="A45" s="8" t="s">
        <v>50</v>
      </c>
      <c r="B45" s="34">
        <v>1</v>
      </c>
      <c r="C45" s="331">
        <f>C11*Inputs!$C$49</f>
        <v>0</v>
      </c>
      <c r="D45" s="331">
        <f>D11*Inputs!$C$49</f>
        <v>0</v>
      </c>
      <c r="E45" s="331">
        <f>E11*Inputs!$C$49</f>
        <v>4.885E-4</v>
      </c>
      <c r="F45" s="331">
        <f>F11*Inputs!$C$49</f>
        <v>5.0799999999999999E-4</v>
      </c>
      <c r="G45" s="331">
        <f>G11*Inputs!$C$49</f>
        <v>6.0341874999999992E-4</v>
      </c>
      <c r="H45" s="14">
        <f>H11*Inputs!$C$49</f>
        <v>6.5823050000000005E-4</v>
      </c>
      <c r="I45" s="14">
        <f>I11*Inputs!$C$49</f>
        <v>6.5823050000000005E-4</v>
      </c>
      <c r="J45" s="14">
        <f>J11*Inputs!$C$49</f>
        <v>8.5813699999999992E-4</v>
      </c>
      <c r="K45" s="14">
        <f>K11*Inputs!$C$49</f>
        <v>1.1488722499999999E-3</v>
      </c>
      <c r="L45" s="14">
        <f>L11*Inputs!$C$49</f>
        <v>1.33914975E-3</v>
      </c>
      <c r="M45" s="14">
        <f>M11*Inputs!$C$49</f>
        <v>1.38712325E-3</v>
      </c>
      <c r="N45" s="190">
        <f>N11*Inputs!$C$49</f>
        <v>1.3901485000000001E-3</v>
      </c>
      <c r="O45" s="14">
        <f>O11*Inputs!$C$49</f>
        <v>1.4900092499999999E-3</v>
      </c>
      <c r="P45" s="14">
        <f>P11*Inputs!$C$49</f>
        <v>1.6591899999999998E-3</v>
      </c>
      <c r="Q45" s="14">
        <f>Q11*Inputs!$C$49</f>
        <v>1.8640752499999998E-3</v>
      </c>
      <c r="R45" s="14">
        <f>R11*Inputs!$C$49</f>
        <v>2.07992875E-3</v>
      </c>
      <c r="S45" s="14">
        <f>S11*Inputs!$C$49</f>
        <v>2.2630337499999998E-3</v>
      </c>
      <c r="T45" s="14">
        <f>T11*Inputs!$C$49</f>
        <v>2.4904782499999998E-3</v>
      </c>
      <c r="U45" s="14">
        <f>U11*Inputs!$C$49</f>
        <v>2.6959002500000001E-3</v>
      </c>
      <c r="V45" s="14">
        <f>V11*Inputs!$C$49</f>
        <v>2.8072704999999999E-3</v>
      </c>
      <c r="W45" s="14">
        <f>W11*Inputs!$C$49</f>
        <v>2.8337050000000002E-3</v>
      </c>
      <c r="X45" s="187">
        <f>X11*Inputs!$C$49</f>
        <v>2.9395549999999995E-3</v>
      </c>
      <c r="Y45" s="14">
        <f>Y11*Inputs!$C$49</f>
        <v>3.2064492499999995E-3</v>
      </c>
      <c r="Z45" s="14">
        <f>Z11*Inputs!$C$49</f>
        <v>3.6386574999999997E-3</v>
      </c>
      <c r="AA45" s="14">
        <f>AA11*Inputs!$C$49</f>
        <v>4.0120935000000002E-3</v>
      </c>
      <c r="AB45" s="14">
        <f>AB11*Inputs!$C$49</f>
        <v>4.3861879999999992E-3</v>
      </c>
      <c r="AC45" s="14">
        <f>AC11*Inputs!$C$49</f>
        <v>4.4887579999999998E-3</v>
      </c>
      <c r="AD45" s="14">
        <f>AD11*Inputs!$C$49</f>
        <v>4.5766697499999998E-3</v>
      </c>
      <c r="AE45" s="14">
        <f>AE11*Inputs!$C$49</f>
        <v>4.6438965000000004E-3</v>
      </c>
      <c r="AF45" s="14">
        <f>AF11*Inputs!$C$49</f>
        <v>4.7498927499999991E-3</v>
      </c>
      <c r="AG45" s="14">
        <f>AG11*Inputs!$C$49</f>
        <v>4.8693947499999996E-3</v>
      </c>
      <c r="AH45" s="14">
        <f>AH11*Inputs!$C$49</f>
        <v>4.8839424999999994E-3</v>
      </c>
    </row>
    <row r="46" spans="1:36" ht="15">
      <c r="A46" s="8" t="s">
        <v>51</v>
      </c>
      <c r="B46" s="34">
        <v>1</v>
      </c>
      <c r="C46" s="331">
        <f>C12*Inputs!$C$52</f>
        <v>23.4</v>
      </c>
      <c r="D46" s="331">
        <f>D12*Inputs!$C$52</f>
        <v>27.75</v>
      </c>
      <c r="E46" s="331">
        <f>E12*Inputs!$C$52</f>
        <v>47.907072114492401</v>
      </c>
      <c r="F46" s="331">
        <f>F12*Inputs!$C$52</f>
        <v>56.22469944998106</v>
      </c>
      <c r="G46" s="331">
        <f>G12*Inputs!$C$52</f>
        <v>67.085429376337601</v>
      </c>
      <c r="H46" s="14">
        <f>H12*Inputs!$C$52</f>
        <v>59.960375232045429</v>
      </c>
      <c r="I46" s="14">
        <f>I12*Inputs!$C$52</f>
        <v>67.008550738380052</v>
      </c>
      <c r="J46" s="14">
        <f>J12*Inputs!$C$52</f>
        <v>59.955870922572259</v>
      </c>
      <c r="K46" s="14">
        <f>K12*Inputs!$C$52</f>
        <v>66.600948903171144</v>
      </c>
      <c r="L46" s="14">
        <f>L12*Inputs!$C$52</f>
        <v>52.358856758564542</v>
      </c>
      <c r="M46" s="14">
        <f>M12*Inputs!$C$52</f>
        <v>67.625259415064335</v>
      </c>
      <c r="N46" s="190">
        <f>N12*Inputs!$C$52</f>
        <v>74.542733602448266</v>
      </c>
      <c r="O46" s="14">
        <f>O12*Inputs!$C$52</f>
        <v>67.631214264876334</v>
      </c>
      <c r="P46" s="14">
        <f>P12*Inputs!$C$52</f>
        <v>60.039925917995561</v>
      </c>
      <c r="Q46" s="14">
        <f>Q12*Inputs!$C$52</f>
        <v>66.959995809143706</v>
      </c>
      <c r="R46" s="14">
        <f>R12*Inputs!$C$52</f>
        <v>74.776957695053795</v>
      </c>
      <c r="S46" s="14">
        <f>S12*Inputs!$C$52</f>
        <v>59.893650376459632</v>
      </c>
      <c r="T46" s="14">
        <f>T12*Inputs!$C$52</f>
        <v>66.709586740126056</v>
      </c>
      <c r="U46" s="14">
        <f>U12*Inputs!$C$52</f>
        <v>66.675155493136131</v>
      </c>
      <c r="V46" s="14">
        <f>V12*Inputs!$C$52</f>
        <v>67.60105829467453</v>
      </c>
      <c r="W46" s="14">
        <f>W12*Inputs!$C$52</f>
        <v>58.97942824186017</v>
      </c>
      <c r="X46" s="187">
        <f>X12*Inputs!$C$52</f>
        <v>59.282438484217188</v>
      </c>
      <c r="Y46" s="14">
        <f>Y12*Inputs!$C$52</f>
        <v>67.026720664729496</v>
      </c>
      <c r="Z46" s="14">
        <f>Z12*Inputs!$C$52</f>
        <v>58.865751685833565</v>
      </c>
      <c r="AA46" s="14">
        <f>AA12*Inputs!$C$52</f>
        <v>66.570945621426048</v>
      </c>
      <c r="AB46" s="14">
        <f>AB12*Inputs!$C$52</f>
        <v>66.662711383913603</v>
      </c>
      <c r="AC46" s="14">
        <f>AC12*Inputs!$C$52</f>
        <v>58.734897678426179</v>
      </c>
      <c r="AD46" s="14">
        <f>AD12*Inputs!$C$52</f>
        <v>66.488722887483362</v>
      </c>
      <c r="AE46" s="14">
        <f>AE12*Inputs!$C$52</f>
        <v>58.671761001573259</v>
      </c>
      <c r="AF46" s="14">
        <f>AF12*Inputs!$C$52</f>
        <v>58.759175143044352</v>
      </c>
      <c r="AG46" s="14">
        <f>AG12*Inputs!$C$52</f>
        <v>58.731156811236595</v>
      </c>
      <c r="AH46" s="14">
        <f>AH12*Inputs!$C$52</f>
        <v>59.937624651994447</v>
      </c>
    </row>
    <row r="47" spans="1:36" ht="15">
      <c r="A47" s="8" t="s">
        <v>347</v>
      </c>
      <c r="B47" s="34">
        <v>1</v>
      </c>
      <c r="C47" s="331">
        <f>C13*Inputs!$C$54</f>
        <v>0</v>
      </c>
      <c r="D47" s="331">
        <f>D13*Inputs!$C$54</f>
        <v>0</v>
      </c>
      <c r="E47" s="331">
        <f>E13*Inputs!$C$54</f>
        <v>1.5800000000000002E-2</v>
      </c>
      <c r="F47" s="331">
        <f>F13*Inputs!$C$54</f>
        <v>1.5800000000000002E-2</v>
      </c>
      <c r="G47" s="331">
        <f>G13*Inputs!$C$54</f>
        <v>1.5800000000000002E-2</v>
      </c>
      <c r="H47" s="14">
        <f>H13*Inputs!$C$54</f>
        <v>1.5800000000000002E-2</v>
      </c>
      <c r="I47" s="14">
        <f>I13*Inputs!$C$54</f>
        <v>1.5800000000000002E-2</v>
      </c>
      <c r="J47" s="14">
        <f>J13*Inputs!$C$54</f>
        <v>1.5800000000000002E-2</v>
      </c>
      <c r="K47" s="14">
        <f>K13*Inputs!$C$54</f>
        <v>1.5800000000000002E-2</v>
      </c>
      <c r="L47" s="14">
        <f>L13*Inputs!$C$54</f>
        <v>1.5800000000000002E-2</v>
      </c>
      <c r="M47" s="14">
        <f>M13*Inputs!$C$54</f>
        <v>1.5800000000000002E-2</v>
      </c>
      <c r="N47" s="190">
        <f>N13*Inputs!$C$54</f>
        <v>1.5800000000000002E-2</v>
      </c>
      <c r="O47" s="14">
        <f>O13*Inputs!$C$54</f>
        <v>1.5800000000000002E-2</v>
      </c>
      <c r="P47" s="14">
        <f>P13*Inputs!$C$54</f>
        <v>1.5800000000000002E-2</v>
      </c>
      <c r="Q47" s="14">
        <f>Q13*Inputs!$C$54</f>
        <v>1.5800000000000002E-2</v>
      </c>
      <c r="R47" s="14">
        <f>R13*Inputs!$C$54</f>
        <v>1.5800000000000002E-2</v>
      </c>
      <c r="S47" s="14">
        <f>S13*Inputs!$C$54</f>
        <v>1.5800000000000002E-2</v>
      </c>
      <c r="T47" s="14">
        <f>T13*Inputs!$C$54</f>
        <v>1.5800000000000002E-2</v>
      </c>
      <c r="U47" s="14">
        <f>U13*Inputs!$C$54</f>
        <v>1.5800000000000002E-2</v>
      </c>
      <c r="V47" s="14">
        <f>V13*Inputs!$C$54</f>
        <v>1.5800000000000002E-2</v>
      </c>
      <c r="W47" s="14">
        <f>W13*Inputs!$C$54</f>
        <v>1.5800000000000002E-2</v>
      </c>
      <c r="X47" s="187">
        <f>X13*Inputs!$C$54</f>
        <v>1.5800000000000002E-2</v>
      </c>
      <c r="Y47" s="14">
        <f>Y13*Inputs!$C$54</f>
        <v>1.5800000000000002E-2</v>
      </c>
      <c r="Z47" s="14">
        <f>Z13*Inputs!$C$54</f>
        <v>1.5800000000000002E-2</v>
      </c>
      <c r="AA47" s="14">
        <f>AA13*Inputs!$C$54</f>
        <v>1.5800000000000002E-2</v>
      </c>
      <c r="AB47" s="14">
        <f>AB13*Inputs!$C$54</f>
        <v>1.5800000000000002E-2</v>
      </c>
      <c r="AC47" s="14">
        <f>AC13*Inputs!$C$54</f>
        <v>1.5800000000000002E-2</v>
      </c>
      <c r="AD47" s="14">
        <f>AD13*Inputs!$C$54</f>
        <v>1.5800000000000002E-2</v>
      </c>
      <c r="AE47" s="14">
        <f>AE13*Inputs!$C$54</f>
        <v>1.5800000000000002E-2</v>
      </c>
      <c r="AF47" s="14">
        <f>AF13*Inputs!$C$54</f>
        <v>1.5800000000000002E-2</v>
      </c>
      <c r="AG47" s="14">
        <f>AG13*Inputs!$C$54</f>
        <v>1.5800000000000002E-2</v>
      </c>
      <c r="AH47" s="14">
        <f>AH13*Inputs!$C$54</f>
        <v>0</v>
      </c>
    </row>
    <row r="48" spans="1:36" ht="15">
      <c r="A48" s="8" t="s">
        <v>348</v>
      </c>
      <c r="B48" s="34">
        <v>1</v>
      </c>
      <c r="C48" s="331">
        <f>C14*Inputs!$C$55</f>
        <v>0</v>
      </c>
      <c r="D48" s="331">
        <f>D14*Inputs!$C$55</f>
        <v>0</v>
      </c>
      <c r="E48" s="331">
        <f>E14*Inputs!$C$55</f>
        <v>2.3E-3</v>
      </c>
      <c r="F48" s="331">
        <f>F14*Inputs!$C$55</f>
        <v>2.3E-3</v>
      </c>
      <c r="G48" s="331">
        <f>G14*Inputs!$C$55</f>
        <v>2.3E-3</v>
      </c>
      <c r="H48" s="14">
        <f>H14*Inputs!$C$55</f>
        <v>2.3E-3</v>
      </c>
      <c r="I48" s="14">
        <f>I14*Inputs!$C$55</f>
        <v>2.3E-3</v>
      </c>
      <c r="J48" s="14">
        <f>J14*Inputs!$C$55</f>
        <v>2.3E-3</v>
      </c>
      <c r="K48" s="14">
        <f>K14*Inputs!$C$55</f>
        <v>2.3E-3</v>
      </c>
      <c r="L48" s="14">
        <f>L14*Inputs!$C$55</f>
        <v>2.3E-3</v>
      </c>
      <c r="M48" s="14">
        <f>M14*Inputs!$C$55</f>
        <v>2.3E-3</v>
      </c>
      <c r="N48" s="190">
        <f>N14*Inputs!$C$55</f>
        <v>2.3E-3</v>
      </c>
      <c r="O48" s="14">
        <f>O14*Inputs!$C$55</f>
        <v>2.3E-3</v>
      </c>
      <c r="P48" s="14">
        <f>P14*Inputs!$C$55</f>
        <v>2.3E-3</v>
      </c>
      <c r="Q48" s="14">
        <f>Q14*Inputs!$C$55</f>
        <v>2.3E-3</v>
      </c>
      <c r="R48" s="14">
        <f>R14*Inputs!$C$55</f>
        <v>2.3E-3</v>
      </c>
      <c r="S48" s="14">
        <f>S14*Inputs!$C$55</f>
        <v>2.3E-3</v>
      </c>
      <c r="T48" s="14">
        <f>T14*Inputs!$C$55</f>
        <v>2.3E-3</v>
      </c>
      <c r="U48" s="14">
        <f>U14*Inputs!$C$55</f>
        <v>2.3E-3</v>
      </c>
      <c r="V48" s="14">
        <f>V14*Inputs!$C$55</f>
        <v>2.3E-3</v>
      </c>
      <c r="W48" s="14">
        <f>W14*Inputs!$C$55</f>
        <v>2.3E-3</v>
      </c>
      <c r="X48" s="187">
        <f>X14*Inputs!$C$55</f>
        <v>2.3E-3</v>
      </c>
      <c r="Y48" s="14">
        <f>Y14*Inputs!$C$55</f>
        <v>2.3E-3</v>
      </c>
      <c r="Z48" s="14">
        <f>Z14*Inputs!$C$55</f>
        <v>2.3E-3</v>
      </c>
      <c r="AA48" s="14">
        <f>AA14*Inputs!$C$55</f>
        <v>2.3E-3</v>
      </c>
      <c r="AB48" s="14">
        <f>AB14*Inputs!$C$55</f>
        <v>2.3E-3</v>
      </c>
      <c r="AC48" s="14">
        <f>AC14*Inputs!$C$55</f>
        <v>2.3E-3</v>
      </c>
      <c r="AD48" s="14">
        <f>AD14*Inputs!$C$55</f>
        <v>2.3E-3</v>
      </c>
      <c r="AE48" s="14">
        <f>AE14*Inputs!$C$55</f>
        <v>2.3E-3</v>
      </c>
      <c r="AF48" s="14">
        <f>AF14*Inputs!$C$55</f>
        <v>2.3E-3</v>
      </c>
      <c r="AG48" s="14">
        <f>AG14*Inputs!$C$55</f>
        <v>2.3E-3</v>
      </c>
      <c r="AH48" s="14">
        <f>AH14*Inputs!$C$55</f>
        <v>2.3E-3</v>
      </c>
    </row>
    <row r="49" spans="1:34" ht="15">
      <c r="A49" s="8" t="s">
        <v>344</v>
      </c>
      <c r="B49" s="34">
        <v>1</v>
      </c>
      <c r="C49" s="331">
        <f>C15*Inputs!$C$51</f>
        <v>2.7000000000000001E-3</v>
      </c>
      <c r="D49" s="331">
        <f>D15*Inputs!$C$51</f>
        <v>2.7000000000000001E-3</v>
      </c>
      <c r="E49" s="331">
        <f>E15*Inputs!$C$51</f>
        <v>2.7000000000000001E-3</v>
      </c>
      <c r="F49" s="331">
        <f>F15*Inputs!$C$51</f>
        <v>2.7000000000000001E-3</v>
      </c>
      <c r="G49" s="331">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1">
        <f>C16*Inputs!$C$57</f>
        <v>607.24</v>
      </c>
      <c r="D50" s="331">
        <f>D16*Inputs!$C$57</f>
        <v>806.65000000000009</v>
      </c>
      <c r="E50" s="331">
        <f>E16*Inputs!$C$57</f>
        <v>816.07864200000017</v>
      </c>
      <c r="F50" s="331">
        <f>F16*Inputs!$C$57</f>
        <v>931.47454000000016</v>
      </c>
      <c r="G50" s="331">
        <f>G16*Inputs!$C$57</f>
        <v>1096.0714300000002</v>
      </c>
      <c r="H50" s="14">
        <f>H16*Inputs!$C$57</f>
        <v>1099.4704100000001</v>
      </c>
      <c r="I50" s="14">
        <f>I16*Inputs!$C$57</f>
        <v>1176.3717800000002</v>
      </c>
      <c r="J50" s="14">
        <f>J16*Inputs!$C$57</f>
        <v>1220.410824</v>
      </c>
      <c r="K50" s="14">
        <f>K16*Inputs!$C$57</f>
        <v>1220.48134</v>
      </c>
      <c r="L50" s="14">
        <f>L16*Inputs!$C$57</f>
        <v>1220.4514200000001</v>
      </c>
      <c r="M50" s="14">
        <f>M16*Inputs!$C$57</f>
        <v>1220.380666</v>
      </c>
      <c r="N50" s="190">
        <f>N16*Inputs!$C$57</f>
        <v>1220.3617280000001</v>
      </c>
      <c r="O50" s="14">
        <f>O16*Inputs!$C$57</f>
        <v>1220.3537040000001</v>
      </c>
      <c r="P50" s="14">
        <f>P16*Inputs!$C$57</f>
        <v>1220.7513340000003</v>
      </c>
      <c r="Q50" s="14">
        <f>Q16*Inputs!$C$57</f>
        <v>1220.4836180000002</v>
      </c>
      <c r="R50" s="14">
        <f>R16*Inputs!$C$57</f>
        <v>1220.4626740000001</v>
      </c>
      <c r="S50" s="14">
        <f>S16*Inputs!$C$57</f>
        <v>1221.6417940000003</v>
      </c>
      <c r="T50" s="14">
        <f>T16*Inputs!$C$57</f>
        <v>1223.4842200000001</v>
      </c>
      <c r="U50" s="14">
        <f>U16*Inputs!$C$57</f>
        <v>1225.2392320000001</v>
      </c>
      <c r="V50" s="14">
        <f>V16*Inputs!$C$57</f>
        <v>1226.0521720000004</v>
      </c>
      <c r="W50" s="14">
        <f>W16*Inputs!$C$57</f>
        <v>1226.3725880000002</v>
      </c>
      <c r="X50" s="187">
        <f>X16*Inputs!$C$57</f>
        <v>1227.8387360000002</v>
      </c>
      <c r="Y50" s="14">
        <f>Y16*Inputs!$C$57</f>
        <v>1229.6182960000001</v>
      </c>
      <c r="Z50" s="14">
        <f>Z16*Inputs!$C$57</f>
        <v>1231.37664</v>
      </c>
      <c r="AA50" s="14">
        <f>AA16*Inputs!$C$57</f>
        <v>1233.2438180000001</v>
      </c>
      <c r="AB50" s="14">
        <f>AB16*Inputs!$C$57</f>
        <v>1241.06069</v>
      </c>
      <c r="AC50" s="14">
        <f>AC16*Inputs!$C$57</f>
        <v>1246.4791680000001</v>
      </c>
      <c r="AD50" s="14">
        <f>AD16*Inputs!$C$57</f>
        <v>1349.1489680000002</v>
      </c>
      <c r="AE50" s="14">
        <f>AE16*Inputs!$C$57</f>
        <v>1467.3955960000001</v>
      </c>
      <c r="AF50" s="14">
        <f>AF16*Inputs!$C$57</f>
        <v>1499.7971880000005</v>
      </c>
      <c r="AG50" s="14">
        <f>AG16*Inputs!$C$57</f>
        <v>1511.3307700000003</v>
      </c>
      <c r="AH50" s="14">
        <f>AH16*Inputs!$C$57</f>
        <v>1531.5494140000001</v>
      </c>
    </row>
    <row r="51" spans="1:34" s="20" customFormat="1" ht="15">
      <c r="A51" s="8" t="s">
        <v>128</v>
      </c>
      <c r="B51" s="38"/>
      <c r="C51" s="334">
        <f t="shared" ref="C51:AH51" si="21">SUMPRODUCT($B42:$B50,C42:C50)</f>
        <v>904.69270000000006</v>
      </c>
      <c r="D51" s="334">
        <f t="shared" si="21"/>
        <v>1186.3627000000001</v>
      </c>
      <c r="E51" s="334">
        <f t="shared" si="21"/>
        <v>1134.1951549976766</v>
      </c>
      <c r="F51" s="334">
        <f t="shared" si="21"/>
        <v>1249.2720837470188</v>
      </c>
      <c r="G51" s="334">
        <f t="shared" si="21"/>
        <v>1420.2394142579619</v>
      </c>
      <c r="H51" s="19">
        <f t="shared" si="21"/>
        <v>1434.1587859442657</v>
      </c>
      <c r="I51" s="19">
        <f t="shared" si="21"/>
        <v>1515.7248760060784</v>
      </c>
      <c r="J51" s="19">
        <f t="shared" si="21"/>
        <v>1575.3860579809511</v>
      </c>
      <c r="K51" s="19">
        <f t="shared" si="21"/>
        <v>1610.0016168505219</v>
      </c>
      <c r="L51" s="19">
        <f t="shared" si="21"/>
        <v>1667.3788782474062</v>
      </c>
      <c r="M51" s="19">
        <f t="shared" si="21"/>
        <v>1728.2311424914578</v>
      </c>
      <c r="N51" s="190">
        <f t="shared" si="21"/>
        <v>1742.9193978509663</v>
      </c>
      <c r="O51" s="19">
        <f t="shared" si="21"/>
        <v>1758.0304511777524</v>
      </c>
      <c r="P51" s="19">
        <f t="shared" si="21"/>
        <v>1761.8583819439079</v>
      </c>
      <c r="Q51" s="19">
        <f t="shared" si="21"/>
        <v>1776.4218055663932</v>
      </c>
      <c r="R51" s="19">
        <f t="shared" si="21"/>
        <v>1800.5782998595448</v>
      </c>
      <c r="S51" s="19">
        <f t="shared" si="21"/>
        <v>1793.1266265019644</v>
      </c>
      <c r="T51" s="19">
        <f t="shared" si="21"/>
        <v>1831.1186562765347</v>
      </c>
      <c r="U51" s="19">
        <f t="shared" si="21"/>
        <v>1843.9411441416996</v>
      </c>
      <c r="V51" s="19">
        <f t="shared" si="21"/>
        <v>1850.2192330523003</v>
      </c>
      <c r="W51" s="19">
        <f t="shared" si="21"/>
        <v>1851.391604032071</v>
      </c>
      <c r="X51" s="182">
        <f t="shared" si="21"/>
        <v>1861.1746263862847</v>
      </c>
      <c r="Y51" s="19">
        <f t="shared" si="21"/>
        <v>1880.6745218002166</v>
      </c>
      <c r="Z51" s="19">
        <f t="shared" si="21"/>
        <v>1908.4480866524218</v>
      </c>
      <c r="AA51" s="19">
        <f t="shared" si="21"/>
        <v>1929.2481425110409</v>
      </c>
      <c r="AB51" s="19">
        <f t="shared" si="21"/>
        <v>1951.4532194910971</v>
      </c>
      <c r="AC51" s="19">
        <f t="shared" si="21"/>
        <v>1964.251248968937</v>
      </c>
      <c r="AD51" s="19">
        <f t="shared" si="21"/>
        <v>2088.7078814509109</v>
      </c>
      <c r="AE51" s="19">
        <f t="shared" si="21"/>
        <v>2227.9599068217522</v>
      </c>
      <c r="AF51" s="19">
        <f t="shared" si="21"/>
        <v>2275.4040375809127</v>
      </c>
      <c r="AG51" s="19">
        <f t="shared" si="21"/>
        <v>2305.802279543349</v>
      </c>
      <c r="AH51" s="19">
        <f t="shared" si="21"/>
        <v>2347.1161919999704</v>
      </c>
    </row>
    <row r="52" spans="1:34" s="20" customFormat="1" ht="15">
      <c r="A52" s="27" t="s">
        <v>329</v>
      </c>
      <c r="B52" s="39"/>
      <c r="C52" s="334">
        <f>SUM(C40:C50)</f>
        <v>12773.401199999998</v>
      </c>
      <c r="D52" s="334">
        <f t="shared" ref="D52:I52" si="22">SUM(D42:D50)</f>
        <v>12723.301199999998</v>
      </c>
      <c r="E52" s="334">
        <f t="shared" si="22"/>
        <v>15190.365732497676</v>
      </c>
      <c r="F52" s="334">
        <f t="shared" si="22"/>
        <v>15136.08293124702</v>
      </c>
      <c r="G52" s="334">
        <f t="shared" si="22"/>
        <v>12859.002866757959</v>
      </c>
      <c r="H52" s="19">
        <f t="shared" si="22"/>
        <v>13102.748133444264</v>
      </c>
      <c r="I52" s="19">
        <f t="shared" si="22"/>
        <v>13391.879141006075</v>
      </c>
      <c r="J52" s="19">
        <f t="shared" ref="J52:AH52" si="23">SUM(J42:J50)</f>
        <v>13650.974792980951</v>
      </c>
      <c r="K52" s="19">
        <f t="shared" si="23"/>
        <v>13818.94326935052</v>
      </c>
      <c r="L52" s="19">
        <f t="shared" si="23"/>
        <v>13828.888310747403</v>
      </c>
      <c r="M52" s="19">
        <f t="shared" si="23"/>
        <v>13889.744204991457</v>
      </c>
      <c r="N52" s="190">
        <f t="shared" si="23"/>
        <v>13904.428830350964</v>
      </c>
      <c r="O52" s="19">
        <f t="shared" si="23"/>
        <v>13976.507783677753</v>
      </c>
      <c r="P52" s="19">
        <f t="shared" si="23"/>
        <v>13980.332084443908</v>
      </c>
      <c r="Q52" s="19">
        <f t="shared" si="23"/>
        <v>13994.894270566392</v>
      </c>
      <c r="R52" s="19">
        <f t="shared" si="23"/>
        <v>14019.050764859545</v>
      </c>
      <c r="S52" s="19">
        <f t="shared" si="23"/>
        <v>14011.599091501965</v>
      </c>
      <c r="T52" s="19">
        <f t="shared" si="23"/>
        <v>14049.589801276534</v>
      </c>
      <c r="U52" s="19">
        <f t="shared" si="23"/>
        <v>14062.412289141699</v>
      </c>
      <c r="V52" s="19">
        <f t="shared" si="23"/>
        <v>14068.690378052301</v>
      </c>
      <c r="W52" s="19">
        <f t="shared" si="23"/>
        <v>14136.744179032072</v>
      </c>
      <c r="X52" s="182">
        <f t="shared" si="23"/>
        <v>14146.527201386281</v>
      </c>
      <c r="Y52" s="19">
        <f t="shared" si="23"/>
        <v>14180.537856800214</v>
      </c>
      <c r="Z52" s="19">
        <f t="shared" si="23"/>
        <v>14208.311504152418</v>
      </c>
      <c r="AA52" s="19">
        <f t="shared" si="23"/>
        <v>14229.111560011039</v>
      </c>
      <c r="AB52" s="19">
        <f t="shared" si="23"/>
        <v>14251.316636991094</v>
      </c>
      <c r="AC52" s="19">
        <f t="shared" si="23"/>
        <v>14285.465996468934</v>
      </c>
      <c r="AD52" s="19">
        <f t="shared" si="23"/>
        <v>14409.926341450906</v>
      </c>
      <c r="AE52" s="19">
        <f t="shared" si="23"/>
        <v>14549.175809321752</v>
      </c>
      <c r="AF52" s="19">
        <f t="shared" si="23"/>
        <v>14596.61614508091</v>
      </c>
      <c r="AG52" s="19">
        <f t="shared" si="23"/>
        <v>14678.586869543349</v>
      </c>
      <c r="AH52" s="19">
        <f t="shared" si="23"/>
        <v>14719.89962699997</v>
      </c>
    </row>
    <row r="53" spans="1:34" s="20" customFormat="1" ht="15">
      <c r="A53" s="27" t="s">
        <v>330</v>
      </c>
      <c r="B53" s="39"/>
      <c r="C53" s="334">
        <f>C20*Inputs!$C$60</f>
        <v>822.58</v>
      </c>
      <c r="D53" s="334">
        <f>D20*Inputs!$C$60</f>
        <v>937.97</v>
      </c>
      <c r="E53" s="334">
        <f>E20*Inputs!$C$60</f>
        <v>699.77320749023181</v>
      </c>
      <c r="F53" s="334">
        <f>F20*Inputs!$C$60</f>
        <v>701.7184596821445</v>
      </c>
      <c r="G53" s="334">
        <f>G20*Inputs!$C$60</f>
        <v>650.01877949006951</v>
      </c>
      <c r="H53" s="19">
        <f>H20*Inputs!$C$60</f>
        <v>675.01829992187982</v>
      </c>
      <c r="I53" s="19">
        <f>I20*Inputs!$C$60</f>
        <v>731.12278534726045</v>
      </c>
      <c r="J53" s="19">
        <f>J20*Inputs!$C$60</f>
        <v>726.88568086430598</v>
      </c>
      <c r="K53" s="19">
        <f>K20*Inputs!$C$60</f>
        <v>748.65227258367099</v>
      </c>
      <c r="L53" s="19">
        <f>L20*Inputs!$C$60</f>
        <v>753.45374701196999</v>
      </c>
      <c r="M53" s="19">
        <f>M20*Inputs!$C$60</f>
        <v>751.9988160620378</v>
      </c>
      <c r="N53" s="190">
        <f>N20*Inputs!$C$60</f>
        <v>752.52437927008111</v>
      </c>
      <c r="O53" s="19">
        <f>O20*Inputs!$C$60</f>
        <v>730.34976325514435</v>
      </c>
      <c r="P53" s="19">
        <f>P20*Inputs!$C$60</f>
        <v>720.919842018439</v>
      </c>
      <c r="Q53" s="19">
        <f>Q20*Inputs!$C$60</f>
        <v>721.18849245315766</v>
      </c>
      <c r="R53" s="19">
        <f>R20*Inputs!$C$60</f>
        <v>721.13571644970318</v>
      </c>
      <c r="S53" s="19">
        <f>S20*Inputs!$C$60</f>
        <v>721.4205561625821</v>
      </c>
      <c r="T53" s="19">
        <f>T20*Inputs!$C$60</f>
        <v>719.02515741072602</v>
      </c>
      <c r="U53" s="19">
        <f>U20*Inputs!$C$60</f>
        <v>717.93190293389182</v>
      </c>
      <c r="V53" s="19">
        <f>V20*Inputs!$C$60</f>
        <v>716.8816981415888</v>
      </c>
      <c r="W53" s="19">
        <f>W20*Inputs!$C$60</f>
        <v>716.17238981443404</v>
      </c>
      <c r="X53" s="182">
        <f>X20*Inputs!$C$60</f>
        <v>715.33757255781131</v>
      </c>
      <c r="Y53" s="19">
        <f>Y20*Inputs!$C$60</f>
        <v>714.4568480032907</v>
      </c>
      <c r="Z53" s="19">
        <f>Z20*Inputs!$C$60</f>
        <v>711.81931144052703</v>
      </c>
      <c r="AA53" s="19">
        <f>AA20*Inputs!$C$60</f>
        <v>710.96004506994825</v>
      </c>
      <c r="AB53" s="19">
        <f>AB20*Inputs!$C$60</f>
        <v>710.15593701335888</v>
      </c>
      <c r="AC53" s="19">
        <f>AC20*Inputs!$C$60</f>
        <v>709.54102266931875</v>
      </c>
      <c r="AD53" s="19">
        <f>AD20*Inputs!$C$60</f>
        <v>709.12008404802521</v>
      </c>
      <c r="AE53" s="19">
        <f>AE20*Inputs!$C$60</f>
        <v>708.17963943160532</v>
      </c>
      <c r="AF53" s="19">
        <f>AF20*Inputs!$C$60</f>
        <v>707.34778412311744</v>
      </c>
      <c r="AG53" s="19">
        <f>AG20*Inputs!$C$60</f>
        <v>706.61045611439192</v>
      </c>
      <c r="AH53" s="19">
        <f>AH20*Inputs!$C$60</f>
        <v>705.77424772753011</v>
      </c>
    </row>
    <row r="54" spans="1:34" s="20" customFormat="1" ht="15">
      <c r="A54" s="27" t="s">
        <v>222</v>
      </c>
      <c r="B54" s="39"/>
      <c r="C54" s="334">
        <f>C21*Inputs!$C$61</f>
        <v>1316.81</v>
      </c>
      <c r="D54" s="334">
        <f>D21*Inputs!$C$61</f>
        <v>1139.49</v>
      </c>
      <c r="E54" s="334">
        <f>E21*Inputs!$C$61</f>
        <v>983.57932529999982</v>
      </c>
      <c r="F54" s="334">
        <f>F21*Inputs!$C$61</f>
        <v>1178.0592615</v>
      </c>
      <c r="G54" s="334">
        <f>G21*Inputs!$C$61</f>
        <v>1457.5709214000001</v>
      </c>
      <c r="H54" s="19">
        <f>H21*Inputs!$C$61</f>
        <v>1428.3359937000002</v>
      </c>
      <c r="I54" s="19">
        <f>I21*Inputs!$C$61</f>
        <v>923.6500119000001</v>
      </c>
      <c r="J54" s="19">
        <f>J21*Inputs!$C$61</f>
        <v>998.54857079999999</v>
      </c>
      <c r="K54" s="19">
        <f>K21*Inputs!$C$61</f>
        <v>992.16226890000019</v>
      </c>
      <c r="L54" s="19">
        <f>L21*Inputs!$C$61</f>
        <v>1095.3209420999999</v>
      </c>
      <c r="M54" s="19">
        <f>M21*Inputs!$C$61</f>
        <v>1138.7025144000002</v>
      </c>
      <c r="N54" s="190">
        <f>N21*Inputs!$C$61</f>
        <v>1187.7779330999999</v>
      </c>
      <c r="O54" s="19">
        <f>O21*Inputs!$C$61</f>
        <v>1365.4008026999998</v>
      </c>
      <c r="P54" s="19">
        <f>P21*Inputs!$C$61</f>
        <v>1530.8484840000001</v>
      </c>
      <c r="Q54" s="19">
        <f>Q21*Inputs!$C$61</f>
        <v>1640.4712434000003</v>
      </c>
      <c r="R54" s="19">
        <f>R21*Inputs!$C$61</f>
        <v>1683.6682896</v>
      </c>
      <c r="S54" s="19">
        <f>S21*Inputs!$C$61</f>
        <v>1770.1901217000004</v>
      </c>
      <c r="T54" s="19">
        <f>T21*Inputs!$C$61</f>
        <v>1888.8589071000004</v>
      </c>
      <c r="U54" s="19">
        <f>U21*Inputs!$C$61</f>
        <v>1957.9750839000003</v>
      </c>
      <c r="V54" s="19">
        <f>V21*Inputs!$C$61</f>
        <v>2006.4051810000003</v>
      </c>
      <c r="W54" s="19">
        <f>W21*Inputs!$C$61</f>
        <v>2111.6509029000003</v>
      </c>
      <c r="X54" s="182">
        <f>X21*Inputs!$C$61</f>
        <v>2204.9351873999999</v>
      </c>
      <c r="Y54" s="19">
        <f>Y21*Inputs!$C$61</f>
        <v>2203.6262192999998</v>
      </c>
      <c r="Z54" s="19">
        <f>Z21*Inputs!$C$61</f>
        <v>2293.0193286000008</v>
      </c>
      <c r="AA54" s="19">
        <f>AA21*Inputs!$C$61</f>
        <v>2334.8811815999998</v>
      </c>
      <c r="AB54" s="19">
        <f>AB21*Inputs!$C$61</f>
        <v>2356.2273141000005</v>
      </c>
      <c r="AC54" s="19">
        <f>AC21*Inputs!$C$61</f>
        <v>2384.1544617000004</v>
      </c>
      <c r="AD54" s="19">
        <f>AD21*Inputs!$C$61</f>
        <v>2368.8835829999998</v>
      </c>
      <c r="AE54" s="19">
        <f>AE21*Inputs!$C$61</f>
        <v>2376.0325809000001</v>
      </c>
      <c r="AF54" s="19">
        <f>AF21*Inputs!$C$61</f>
        <v>2414.2130298000002</v>
      </c>
      <c r="AG54" s="19">
        <f>AG21*Inputs!$C$61</f>
        <v>2504.3695776000004</v>
      </c>
      <c r="AH54" s="19">
        <f>AH21*Inputs!$C$61</f>
        <v>2584.5107805000002</v>
      </c>
    </row>
    <row r="55" spans="1:34" s="20" customFormat="1" ht="15">
      <c r="A55" s="27" t="s">
        <v>58</v>
      </c>
      <c r="B55" s="39"/>
      <c r="C55" s="334">
        <f>SUM(C52:C54)</f>
        <v>14912.791199999998</v>
      </c>
      <c r="D55" s="334">
        <f t="shared" ref="D55:AH55" si="24">SUM(D52:D54)</f>
        <v>14800.761199999997</v>
      </c>
      <c r="E55" s="334">
        <f t="shared" si="24"/>
        <v>16873.718265287909</v>
      </c>
      <c r="F55" s="334">
        <f t="shared" si="24"/>
        <v>17015.860652429164</v>
      </c>
      <c r="G55" s="334">
        <f t="shared" si="24"/>
        <v>14966.592567648029</v>
      </c>
      <c r="H55" s="19">
        <f t="shared" si="24"/>
        <v>15206.102427066144</v>
      </c>
      <c r="I55" s="19">
        <f t="shared" si="24"/>
        <v>15046.651938253335</v>
      </c>
      <c r="J55" s="19">
        <f t="shared" si="24"/>
        <v>15376.409044645257</v>
      </c>
      <c r="K55" s="19">
        <f t="shared" si="24"/>
        <v>15559.757810834191</v>
      </c>
      <c r="L55" s="19">
        <f t="shared" si="24"/>
        <v>15677.662999859373</v>
      </c>
      <c r="M55" s="19">
        <f t="shared" si="24"/>
        <v>15780.445535453495</v>
      </c>
      <c r="N55" s="190">
        <f t="shared" si="24"/>
        <v>15844.731142721044</v>
      </c>
      <c r="O55" s="19">
        <f t="shared" si="24"/>
        <v>16072.258349632897</v>
      </c>
      <c r="P55" s="19">
        <f t="shared" si="24"/>
        <v>16232.100410462346</v>
      </c>
      <c r="Q55" s="19">
        <f t="shared" si="24"/>
        <v>16356.554006419548</v>
      </c>
      <c r="R55" s="19">
        <f t="shared" si="24"/>
        <v>16423.854770909249</v>
      </c>
      <c r="S55" s="19">
        <f t="shared" si="24"/>
        <v>16503.209769364548</v>
      </c>
      <c r="T55" s="19">
        <f t="shared" si="24"/>
        <v>16657.473865787259</v>
      </c>
      <c r="U55" s="19">
        <f t="shared" si="24"/>
        <v>16738.319275975591</v>
      </c>
      <c r="V55" s="19">
        <f t="shared" si="24"/>
        <v>16791.977257193892</v>
      </c>
      <c r="W55" s="19">
        <f t="shared" si="24"/>
        <v>16964.567471746504</v>
      </c>
      <c r="X55" s="182">
        <f t="shared" si="24"/>
        <v>17066.799961344092</v>
      </c>
      <c r="Y55" s="19">
        <f t="shared" si="24"/>
        <v>17098.620924103503</v>
      </c>
      <c r="Z55" s="19">
        <f t="shared" si="24"/>
        <v>17213.150144192947</v>
      </c>
      <c r="AA55" s="19">
        <f t="shared" si="24"/>
        <v>17274.952786680988</v>
      </c>
      <c r="AB55" s="19">
        <f t="shared" si="24"/>
        <v>17317.699888104453</v>
      </c>
      <c r="AC55" s="19">
        <f t="shared" si="24"/>
        <v>17379.161480838255</v>
      </c>
      <c r="AD55" s="19">
        <f t="shared" si="24"/>
        <v>17487.93000849893</v>
      </c>
      <c r="AE55" s="19">
        <f t="shared" si="24"/>
        <v>17633.388029653357</v>
      </c>
      <c r="AF55" s="19">
        <f t="shared" si="24"/>
        <v>17718.176959004028</v>
      </c>
      <c r="AG55" s="19">
        <f t="shared" si="24"/>
        <v>17889.566903257743</v>
      </c>
      <c r="AH55" s="19">
        <f t="shared" si="24"/>
        <v>18010.184655227498</v>
      </c>
    </row>
    <row r="57" spans="1:34">
      <c r="A57" s="1" t="s">
        <v>140</v>
      </c>
      <c r="B57" s="13"/>
      <c r="D57" s="333"/>
      <c r="E57" s="333"/>
      <c r="F57" s="333"/>
      <c r="G57" s="333"/>
      <c r="H57" s="16"/>
      <c r="I57" s="16"/>
      <c r="J57" s="16"/>
      <c r="K57" s="16"/>
      <c r="L57" s="16"/>
      <c r="M57" s="16"/>
      <c r="N57" s="389" t="s">
        <v>0</v>
      </c>
    </row>
    <row r="58" spans="1:34" ht="15">
      <c r="A58" s="8" t="s">
        <v>61</v>
      </c>
      <c r="B58" s="34">
        <v>0</v>
      </c>
      <c r="C58" s="331">
        <f>C40*Inputs!$H44</f>
        <v>0</v>
      </c>
      <c r="D58" s="331">
        <f>D40*Inputs!$H44</f>
        <v>0</v>
      </c>
      <c r="E58" s="331">
        <f>E40*Inputs!$H44</f>
        <v>0</v>
      </c>
      <c r="F58" s="331">
        <f>F40*Inputs!$H44</f>
        <v>0</v>
      </c>
      <c r="G58" s="331">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1">
        <f>C41*Inputs!$H47</f>
        <v>0</v>
      </c>
      <c r="D59" s="331">
        <f>D41*Inputs!$H47</f>
        <v>0</v>
      </c>
      <c r="E59" s="331" t="s">
        <v>377</v>
      </c>
      <c r="F59" s="331">
        <f>F41*Inputs!$H47</f>
        <v>0</v>
      </c>
      <c r="G59" s="331">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1">
        <f>C42*Inputs!$H48</f>
        <v>9845.9536500000013</v>
      </c>
      <c r="D60" s="331">
        <f>D42*Inputs!$H48</f>
        <v>9218.8786500000006</v>
      </c>
      <c r="E60" s="331">
        <f>E42*Inputs!$H48</f>
        <v>12044.997519750001</v>
      </c>
      <c r="F60" s="331">
        <f>F42*Inputs!$H48</f>
        <v>11322.04576275</v>
      </c>
      <c r="G60" s="331">
        <f>G42*Inputs!$H48</f>
        <v>9311.3369032500013</v>
      </c>
      <c r="H60" s="14">
        <f>H42*Inputs!$H48</f>
        <v>9509.3870467500001</v>
      </c>
      <c r="I60" s="14">
        <f>I42*Inputs!$H48</f>
        <v>9666.0497204999992</v>
      </c>
      <c r="J60" s="14">
        <f>J42*Inputs!$H48</f>
        <v>9836.747203500001</v>
      </c>
      <c r="K60" s="14">
        <f>K42*Inputs!$H48</f>
        <v>9956.7648292499998</v>
      </c>
      <c r="L60" s="14">
        <f>L42*Inputs!$H48</f>
        <v>9914.0758312500002</v>
      </c>
      <c r="M60" s="14">
        <f>M42*Inputs!$H48</f>
        <v>9914.0790982500002</v>
      </c>
      <c r="N60" s="190">
        <f>N42*Inputs!$H48</f>
        <v>9914.0758312500002</v>
      </c>
      <c r="O60" s="14">
        <f>O42*Inputs!$H48</f>
        <v>9965.3469412500017</v>
      </c>
      <c r="P60" s="14">
        <f>P42*Inputs!$H48</f>
        <v>9965.3436742500016</v>
      </c>
      <c r="Q60" s="14">
        <f>Q42*Inputs!$H48</f>
        <v>9965.3425605000011</v>
      </c>
      <c r="R60" s="14">
        <f>R42*Inputs!$H48</f>
        <v>9965.3425605000011</v>
      </c>
      <c r="S60" s="14">
        <f>S42*Inputs!$H48</f>
        <v>9965.3425605000011</v>
      </c>
      <c r="T60" s="14">
        <f>T42*Inputs!$H48</f>
        <v>9965.3413725000028</v>
      </c>
      <c r="U60" s="14">
        <f>U42*Inputs!$H48</f>
        <v>9965.3413725000028</v>
      </c>
      <c r="V60" s="14">
        <f>V42*Inputs!$H48</f>
        <v>9965.3413725000028</v>
      </c>
      <c r="W60" s="14">
        <f>W42*Inputs!$H48</f>
        <v>10025.534659500001</v>
      </c>
      <c r="X60" s="187">
        <f>X42*Inputs!$H48</f>
        <v>10025.534659500001</v>
      </c>
      <c r="Y60" s="14">
        <f>Y42*Inputs!$H48</f>
        <v>10038.594343500001</v>
      </c>
      <c r="Z60" s="14">
        <f>Z42*Inputs!$H48</f>
        <v>10038.594417750001</v>
      </c>
      <c r="AA60" s="14">
        <f>AA42*Inputs!$H48</f>
        <v>10038.594417750001</v>
      </c>
      <c r="AB60" s="14">
        <f>AB42*Inputs!$H48</f>
        <v>10038.594417750001</v>
      </c>
      <c r="AC60" s="14">
        <f>AC42*Inputs!$H48</f>
        <v>10057.810614749998</v>
      </c>
      <c r="AD60" s="14">
        <f>AD42*Inputs!$H48</f>
        <v>10057.813956</v>
      </c>
      <c r="AE60" s="14">
        <f>AE42*Inputs!$H48</f>
        <v>10057.811654250003</v>
      </c>
      <c r="AF60" s="14">
        <f>AF42*Inputs!$H48</f>
        <v>10057.80823875</v>
      </c>
      <c r="AG60" s="14">
        <f>AG42*Inputs!$H48</f>
        <v>10104.223473000002</v>
      </c>
      <c r="AH60" s="14">
        <f>AH42*Inputs!$H48</f>
        <v>10104.222433500001</v>
      </c>
    </row>
    <row r="61" spans="1:34" ht="15">
      <c r="A61" s="8" t="s">
        <v>59</v>
      </c>
      <c r="B61" s="34">
        <v>0</v>
      </c>
      <c r="C61" s="331">
        <f>C43*Inputs!$H53</f>
        <v>835.88400000000013</v>
      </c>
      <c r="D61" s="331">
        <f>D43*Inputs!$H53</f>
        <v>1164.3660000000002</v>
      </c>
      <c r="E61" s="331">
        <f>E43*Inputs!$H53</f>
        <v>605.55600000000004</v>
      </c>
      <c r="F61" s="331">
        <f>F43*Inputs!$H53</f>
        <v>1176.0840000000003</v>
      </c>
      <c r="G61" s="331">
        <f>G43*Inputs!$H53</f>
        <v>983.55020400000001</v>
      </c>
      <c r="H61" s="14">
        <f>H43*Inputs!$H53</f>
        <v>992.34336600000006</v>
      </c>
      <c r="I61" s="14">
        <f>I43*Inputs!$H53</f>
        <v>1022.4891180000001</v>
      </c>
      <c r="J61" s="14">
        <f>J43*Inputs!$H53</f>
        <v>1031.2826580000001</v>
      </c>
      <c r="K61" s="14">
        <f>K43*Inputs!$H53</f>
        <v>1031.2826580000001</v>
      </c>
      <c r="L61" s="14">
        <f>L43*Inputs!$H53</f>
        <v>1031.2826580000001</v>
      </c>
      <c r="M61" s="14">
        <f>M43*Inputs!$H53</f>
        <v>1031.2826580000001</v>
      </c>
      <c r="N61" s="190">
        <f>N43*Inputs!$H53</f>
        <v>1031.2826580000001</v>
      </c>
      <c r="O61" s="14">
        <f>O43*Inputs!$H53</f>
        <v>1031.2826580000001</v>
      </c>
      <c r="P61" s="14">
        <f>P43*Inputs!$H53</f>
        <v>1031.2826580000001</v>
      </c>
      <c r="Q61" s="14">
        <f>Q43*Inputs!$H53</f>
        <v>1031.2826580000001</v>
      </c>
      <c r="R61" s="14">
        <f>R43*Inputs!$H53</f>
        <v>1031.2826580000001</v>
      </c>
      <c r="S61" s="14">
        <f>S43*Inputs!$H53</f>
        <v>1031.2826580000001</v>
      </c>
      <c r="T61" s="14">
        <f>T43*Inputs!$H53</f>
        <v>1031.2826580000001</v>
      </c>
      <c r="U61" s="14">
        <f>U43*Inputs!$H53</f>
        <v>1031.2826580000001</v>
      </c>
      <c r="V61" s="14">
        <f>V43*Inputs!$H53</f>
        <v>1031.2826580000001</v>
      </c>
      <c r="W61" s="14">
        <f>W43*Inputs!$H53</f>
        <v>1031.2826580000001</v>
      </c>
      <c r="X61" s="187">
        <f>X43*Inputs!$H53</f>
        <v>1031.2826580000001</v>
      </c>
      <c r="Y61" s="14">
        <f>Y43*Inputs!$H53</f>
        <v>1031.2826580000001</v>
      </c>
      <c r="Z61" s="14">
        <f>Z43*Inputs!$H53</f>
        <v>1031.2826580000001</v>
      </c>
      <c r="AA61" s="14">
        <f>AA43*Inputs!$H53</f>
        <v>1031.2826580000001</v>
      </c>
      <c r="AB61" s="14">
        <f>AB43*Inputs!$H53</f>
        <v>1031.2826580000001</v>
      </c>
      <c r="AC61" s="14">
        <f>AC43*Inputs!$H53</f>
        <v>1031.2826580000001</v>
      </c>
      <c r="AD61" s="14">
        <f>AD43*Inputs!$H53</f>
        <v>1031.2826580000001</v>
      </c>
      <c r="AE61" s="14">
        <f>AE43*Inputs!$H53</f>
        <v>1031.2826580000001</v>
      </c>
      <c r="AF61" s="14">
        <f>AF43*Inputs!$H53</f>
        <v>1031.2826580000001</v>
      </c>
      <c r="AG61" s="14">
        <f>AG43*Inputs!$H53</f>
        <v>1031.2826580000001</v>
      </c>
      <c r="AH61" s="14">
        <f>AH43*Inputs!$H53</f>
        <v>1031.2826580000001</v>
      </c>
    </row>
    <row r="62" spans="1:34" ht="15">
      <c r="A62" s="8" t="s">
        <v>121</v>
      </c>
      <c r="B62" s="34">
        <v>1</v>
      </c>
      <c r="C62" s="331">
        <f>C44*Inputs!$H46</f>
        <v>246.64500000000001</v>
      </c>
      <c r="D62" s="331">
        <f>D44*Inputs!$H46</f>
        <v>316.76400000000001</v>
      </c>
      <c r="E62" s="331">
        <f>E44*Inputs!$H46</f>
        <v>243.16933714486555</v>
      </c>
      <c r="F62" s="331">
        <f>F44*Inputs!$H46</f>
        <v>235.39638266733385</v>
      </c>
      <c r="G62" s="331">
        <f>G44*Inputs!$H46</f>
        <v>231.35503631658679</v>
      </c>
      <c r="H62" s="14">
        <f>H44*Inputs!$H46</f>
        <v>247.23588823354802</v>
      </c>
      <c r="I62" s="14">
        <f>I44*Inputs!$H46</f>
        <v>245.09077833347834</v>
      </c>
      <c r="J62" s="14">
        <f>J44*Inputs!$H46</f>
        <v>265.49793442924096</v>
      </c>
      <c r="K62" s="14">
        <f>K44*Inputs!$H46</f>
        <v>290.60764116759066</v>
      </c>
      <c r="L62" s="14">
        <f>L44*Inputs!$H46</f>
        <v>355.09181610518249</v>
      </c>
      <c r="M62" s="14">
        <f>M44*Inputs!$H46</f>
        <v>396.182726957829</v>
      </c>
      <c r="N62" s="190">
        <f>N44*Inputs!$H46</f>
        <v>403.19347149001618</v>
      </c>
      <c r="O62" s="14">
        <f>O44*Inputs!$H46</f>
        <v>423.02091861326335</v>
      </c>
      <c r="P62" s="14">
        <f>P44*Inputs!$H46</f>
        <v>432.94019655232091</v>
      </c>
      <c r="Q62" s="14">
        <f>Q44*Inputs!$H46</f>
        <v>440.05997491379929</v>
      </c>
      <c r="R62" s="14">
        <f>R44*Inputs!$H46</f>
        <v>454.78420941216683</v>
      </c>
      <c r="S62" s="14">
        <f>S44*Inputs!$H46</f>
        <v>460.41130718257892</v>
      </c>
      <c r="T62" s="14">
        <f>T44*Inputs!$H46</f>
        <v>486.81140315234273</v>
      </c>
      <c r="U62" s="14">
        <f>U44*Inputs!$H46</f>
        <v>496.8029346734819</v>
      </c>
      <c r="V62" s="14">
        <f>V44*Inputs!$H46</f>
        <v>500.88815593841281</v>
      </c>
      <c r="W62" s="14">
        <f>W44*Inputs!$H46</f>
        <v>509.41435867668957</v>
      </c>
      <c r="X62" s="187">
        <f>X44*Inputs!$H46</f>
        <v>516.62674111236061</v>
      </c>
      <c r="Y62" s="14">
        <f>Y44*Inputs!$H46</f>
        <v>525.60494881761315</v>
      </c>
      <c r="Z62" s="14">
        <f>Z44*Inputs!$H46</f>
        <v>556.36313067817946</v>
      </c>
      <c r="AA62" s="14">
        <f>AA44*Inputs!$H46</f>
        <v>566.4677101165031</v>
      </c>
      <c r="AB62" s="14">
        <f>AB44*Inputs!$H46</f>
        <v>579.33416872726525</v>
      </c>
      <c r="AC62" s="14">
        <f>AC44*Inputs!$H46</f>
        <v>593.11070507925979</v>
      </c>
      <c r="AD62" s="14">
        <f>AD44*Inputs!$H46</f>
        <v>605.74033250430966</v>
      </c>
      <c r="AE62" s="14">
        <f>AE44*Inputs!$H46</f>
        <v>631.68039533131082</v>
      </c>
      <c r="AF62" s="14">
        <f>AF44*Inputs!$H46</f>
        <v>645.139912090606</v>
      </c>
      <c r="AG62" s="14">
        <f>AG44*Inputs!$H46</f>
        <v>662.1432150036261</v>
      </c>
      <c r="AH62" s="14">
        <f>AH44*Inputs!$H46</f>
        <v>680.05734246492852</v>
      </c>
    </row>
    <row r="63" spans="1:34" ht="15">
      <c r="A63" s="8" t="s">
        <v>50</v>
      </c>
      <c r="B63" s="34">
        <v>1</v>
      </c>
      <c r="C63" s="331">
        <f>C45*Inputs!$H49</f>
        <v>0</v>
      </c>
      <c r="D63" s="331">
        <f>D45*Inputs!$H49</f>
        <v>0</v>
      </c>
      <c r="E63" s="331">
        <f>E45*Inputs!$H49</f>
        <v>4.3965000000000003E-4</v>
      </c>
      <c r="F63" s="331">
        <f>F45*Inputs!$H49</f>
        <v>4.572E-4</v>
      </c>
      <c r="G63" s="331">
        <f>G45*Inputs!$H49</f>
        <v>5.4307687499999995E-4</v>
      </c>
      <c r="H63" s="14">
        <f>H45*Inputs!$H49</f>
        <v>5.9240745000000003E-4</v>
      </c>
      <c r="I63" s="14">
        <f>I45*Inputs!$H49</f>
        <v>5.9240745000000003E-4</v>
      </c>
      <c r="J63" s="14">
        <f>J45*Inputs!$H49</f>
        <v>7.7232329999999999E-4</v>
      </c>
      <c r="K63" s="14">
        <f>K45*Inputs!$H49</f>
        <v>1.033985025E-3</v>
      </c>
      <c r="L63" s="14">
        <f>L45*Inputs!$H49</f>
        <v>1.2052347750000001E-3</v>
      </c>
      <c r="M63" s="14">
        <f>M45*Inputs!$H49</f>
        <v>1.2484109249999999E-3</v>
      </c>
      <c r="N63" s="190">
        <f>N45*Inputs!$H49</f>
        <v>1.2511336500000002E-3</v>
      </c>
      <c r="O63" s="14">
        <f>O45*Inputs!$H49</f>
        <v>1.3410083249999999E-3</v>
      </c>
      <c r="P63" s="14">
        <f>P45*Inputs!$H49</f>
        <v>1.4932709999999998E-3</v>
      </c>
      <c r="Q63" s="14">
        <f>Q45*Inputs!$H49</f>
        <v>1.6776677249999998E-3</v>
      </c>
      <c r="R63" s="14">
        <f>R45*Inputs!$H49</f>
        <v>1.8719358750000001E-3</v>
      </c>
      <c r="S63" s="14">
        <f>S45*Inputs!$H49</f>
        <v>2.0367303749999999E-3</v>
      </c>
      <c r="T63" s="14">
        <f>T45*Inputs!$H49</f>
        <v>2.241430425E-3</v>
      </c>
      <c r="U63" s="14">
        <f>U45*Inputs!$H49</f>
        <v>2.4263102250000001E-3</v>
      </c>
      <c r="V63" s="14">
        <f>V45*Inputs!$H49</f>
        <v>2.52654345E-3</v>
      </c>
      <c r="W63" s="14">
        <f>W45*Inputs!$H49</f>
        <v>2.5503345000000002E-3</v>
      </c>
      <c r="X63" s="187">
        <f>X45*Inputs!$H49</f>
        <v>2.6455994999999995E-3</v>
      </c>
      <c r="Y63" s="14">
        <f>Y45*Inputs!$H49</f>
        <v>2.8858043249999996E-3</v>
      </c>
      <c r="Z63" s="14">
        <f>Z45*Inputs!$H49</f>
        <v>3.27479175E-3</v>
      </c>
      <c r="AA63" s="14">
        <f>AA45*Inputs!$H49</f>
        <v>3.6108841500000002E-3</v>
      </c>
      <c r="AB63" s="14">
        <f>AB45*Inputs!$H49</f>
        <v>3.9475691999999998E-3</v>
      </c>
      <c r="AC63" s="14">
        <f>AC45*Inputs!$H49</f>
        <v>4.0398821999999999E-3</v>
      </c>
      <c r="AD63" s="14">
        <f>AD45*Inputs!$H49</f>
        <v>4.119002775E-3</v>
      </c>
      <c r="AE63" s="14">
        <f>AE45*Inputs!$H49</f>
        <v>4.1795068500000004E-3</v>
      </c>
      <c r="AF63" s="14">
        <f>AF45*Inputs!$H49</f>
        <v>4.2749034749999994E-3</v>
      </c>
      <c r="AG63" s="14">
        <f>AG45*Inputs!$H49</f>
        <v>4.3824552749999997E-3</v>
      </c>
      <c r="AH63" s="14">
        <f>AH45*Inputs!$H49</f>
        <v>4.3955482499999999E-3</v>
      </c>
    </row>
    <row r="64" spans="1:34" ht="15">
      <c r="A64" s="8" t="s">
        <v>51</v>
      </c>
      <c r="B64" s="34">
        <v>1</v>
      </c>
      <c r="C64" s="331">
        <f>C46*Inputs!$H52</f>
        <v>21.06</v>
      </c>
      <c r="D64" s="331">
        <f>D46*Inputs!$H52</f>
        <v>24.975000000000001</v>
      </c>
      <c r="E64" s="331">
        <f>E46*Inputs!$H52</f>
        <v>43.116364903043163</v>
      </c>
      <c r="F64" s="331">
        <f>F46*Inputs!$H52</f>
        <v>50.602229504982958</v>
      </c>
      <c r="G64" s="331">
        <f>G46*Inputs!$H52</f>
        <v>60.376886438703842</v>
      </c>
      <c r="H64" s="14">
        <f>H46*Inputs!$H52</f>
        <v>53.964337708840887</v>
      </c>
      <c r="I64" s="14">
        <f>I46*Inputs!$H52</f>
        <v>60.307695664542045</v>
      </c>
      <c r="J64" s="14">
        <f>J46*Inputs!$H52</f>
        <v>53.960283830315035</v>
      </c>
      <c r="K64" s="14">
        <f>K46*Inputs!$H52</f>
        <v>59.940854012854032</v>
      </c>
      <c r="L64" s="14">
        <f>L46*Inputs!$H52</f>
        <v>47.122971082708091</v>
      </c>
      <c r="M64" s="14">
        <f>M46*Inputs!$H52</f>
        <v>60.862733473557903</v>
      </c>
      <c r="N64" s="190">
        <f>N46*Inputs!$H52</f>
        <v>67.088460242203439</v>
      </c>
      <c r="O64" s="14">
        <f>O46*Inputs!$H52</f>
        <v>60.868092838388705</v>
      </c>
      <c r="P64" s="14">
        <f>P46*Inputs!$H52</f>
        <v>54.035933326196009</v>
      </c>
      <c r="Q64" s="14">
        <f>Q46*Inputs!$H52</f>
        <v>60.263996228229338</v>
      </c>
      <c r="R64" s="14">
        <f>R46*Inputs!$H52</f>
        <v>67.299261925548421</v>
      </c>
      <c r="S64" s="14">
        <f>S46*Inputs!$H52</f>
        <v>53.904285338813672</v>
      </c>
      <c r="T64" s="14">
        <f>T46*Inputs!$H52</f>
        <v>60.038628066113453</v>
      </c>
      <c r="U64" s="14">
        <f>U46*Inputs!$H52</f>
        <v>60.007639943822518</v>
      </c>
      <c r="V64" s="14">
        <f>V46*Inputs!$H52</f>
        <v>60.840952465207081</v>
      </c>
      <c r="W64" s="14">
        <f>W46*Inputs!$H52</f>
        <v>53.081485417674152</v>
      </c>
      <c r="X64" s="187">
        <f>X46*Inputs!$H52</f>
        <v>53.354194635795473</v>
      </c>
      <c r="Y64" s="14">
        <f>Y46*Inputs!$H52</f>
        <v>60.324048598256546</v>
      </c>
      <c r="Z64" s="14">
        <f>Z46*Inputs!$H52</f>
        <v>52.97917651725021</v>
      </c>
      <c r="AA64" s="14">
        <f>AA46*Inputs!$H52</f>
        <v>59.913851059283445</v>
      </c>
      <c r="AB64" s="14">
        <f>AB46*Inputs!$H52</f>
        <v>59.996440245522244</v>
      </c>
      <c r="AC64" s="14">
        <f>AC46*Inputs!$H52</f>
        <v>52.861407910583566</v>
      </c>
      <c r="AD64" s="14">
        <f>AD46*Inputs!$H52</f>
        <v>59.839850598735026</v>
      </c>
      <c r="AE64" s="14">
        <f>AE46*Inputs!$H52</f>
        <v>52.804584901415936</v>
      </c>
      <c r="AF64" s="14">
        <f>AF46*Inputs!$H52</f>
        <v>52.883257628739919</v>
      </c>
      <c r="AG64" s="14">
        <f>AG46*Inputs!$H52</f>
        <v>52.858041130112937</v>
      </c>
      <c r="AH64" s="14">
        <f>AH46*Inputs!$H52</f>
        <v>53.943862186795002</v>
      </c>
    </row>
    <row r="65" spans="1:34" ht="15">
      <c r="A65" s="8" t="s">
        <v>347</v>
      </c>
      <c r="B65" s="34">
        <v>1</v>
      </c>
      <c r="C65" s="331">
        <f>C47*Inputs!$H54</f>
        <v>0</v>
      </c>
      <c r="D65" s="331">
        <f>D47*Inputs!$H54</f>
        <v>0</v>
      </c>
      <c r="E65" s="331">
        <f>E47*Inputs!$H54</f>
        <v>1.4220000000000002E-2</v>
      </c>
      <c r="F65" s="331">
        <f>F47*Inputs!$H54</f>
        <v>1.4220000000000002E-2</v>
      </c>
      <c r="G65" s="331">
        <f>G47*Inputs!$H54</f>
        <v>1.4220000000000002E-2</v>
      </c>
      <c r="H65" s="14">
        <f>H47*Inputs!$H54</f>
        <v>1.4220000000000002E-2</v>
      </c>
      <c r="I65" s="14">
        <f>I47*Inputs!$H54</f>
        <v>1.4220000000000002E-2</v>
      </c>
      <c r="J65" s="14">
        <f>J47*Inputs!$H54</f>
        <v>1.4220000000000002E-2</v>
      </c>
      <c r="K65" s="14">
        <f>K47*Inputs!$H54</f>
        <v>1.4220000000000002E-2</v>
      </c>
      <c r="L65" s="14">
        <f>L47*Inputs!$H54</f>
        <v>1.4220000000000002E-2</v>
      </c>
      <c r="M65" s="14">
        <f>M47*Inputs!$H54</f>
        <v>1.4220000000000002E-2</v>
      </c>
      <c r="N65" s="190">
        <f>N47*Inputs!$H54</f>
        <v>1.4220000000000002E-2</v>
      </c>
      <c r="O65" s="14">
        <f>O47*Inputs!$H54</f>
        <v>1.4220000000000002E-2</v>
      </c>
      <c r="P65" s="14">
        <f>P47*Inputs!$H54</f>
        <v>1.4220000000000002E-2</v>
      </c>
      <c r="Q65" s="14">
        <f>Q47*Inputs!$H54</f>
        <v>1.4220000000000002E-2</v>
      </c>
      <c r="R65" s="14">
        <f>R47*Inputs!$H54</f>
        <v>1.4220000000000002E-2</v>
      </c>
      <c r="S65" s="14">
        <f>S47*Inputs!$H54</f>
        <v>1.4220000000000002E-2</v>
      </c>
      <c r="T65" s="14">
        <f>T47*Inputs!$H54</f>
        <v>1.4220000000000002E-2</v>
      </c>
      <c r="U65" s="14">
        <f>U47*Inputs!$H54</f>
        <v>1.4220000000000002E-2</v>
      </c>
      <c r="V65" s="14">
        <f>V47*Inputs!$H54</f>
        <v>1.4220000000000002E-2</v>
      </c>
      <c r="W65" s="14">
        <f>W47*Inputs!$H54</f>
        <v>1.4220000000000002E-2</v>
      </c>
      <c r="X65" s="187">
        <f>X47*Inputs!$H54</f>
        <v>1.4220000000000002E-2</v>
      </c>
      <c r="Y65" s="14">
        <f>Y47*Inputs!$H54</f>
        <v>1.4220000000000002E-2</v>
      </c>
      <c r="Z65" s="14">
        <f>Z47*Inputs!$H54</f>
        <v>1.4220000000000002E-2</v>
      </c>
      <c r="AA65" s="14">
        <f>AA47*Inputs!$H54</f>
        <v>1.4220000000000002E-2</v>
      </c>
      <c r="AB65" s="14">
        <f>AB47*Inputs!$H54</f>
        <v>1.4220000000000002E-2</v>
      </c>
      <c r="AC65" s="14">
        <f>AC47*Inputs!$H54</f>
        <v>1.4220000000000002E-2</v>
      </c>
      <c r="AD65" s="14">
        <f>AD47*Inputs!$H54</f>
        <v>1.4220000000000002E-2</v>
      </c>
      <c r="AE65" s="14">
        <f>AE47*Inputs!$H54</f>
        <v>1.4220000000000002E-2</v>
      </c>
      <c r="AF65" s="14">
        <f>AF47*Inputs!$H54</f>
        <v>1.4220000000000002E-2</v>
      </c>
      <c r="AG65" s="14">
        <f>AG47*Inputs!$H54</f>
        <v>1.4220000000000002E-2</v>
      </c>
      <c r="AH65" s="14">
        <f>AH47*Inputs!$H54</f>
        <v>0</v>
      </c>
    </row>
    <row r="66" spans="1:34" ht="15">
      <c r="A66" s="8" t="s">
        <v>348</v>
      </c>
      <c r="B66" s="34">
        <v>1</v>
      </c>
      <c r="C66" s="331">
        <f>C48*Inputs!$H55</f>
        <v>0</v>
      </c>
      <c r="D66" s="331">
        <f>D48*Inputs!$H55</f>
        <v>0</v>
      </c>
      <c r="E66" s="331">
        <f>E48*Inputs!$H55</f>
        <v>2.0700000000000002E-3</v>
      </c>
      <c r="F66" s="331">
        <f>F48*Inputs!$H55</f>
        <v>2.0700000000000002E-3</v>
      </c>
      <c r="G66" s="331">
        <f>G48*Inputs!$H55</f>
        <v>2.0700000000000002E-3</v>
      </c>
      <c r="H66" s="14">
        <f>H48*Inputs!$H55</f>
        <v>2.0700000000000002E-3</v>
      </c>
      <c r="I66" s="14">
        <f>I48*Inputs!$H55</f>
        <v>2.0700000000000002E-3</v>
      </c>
      <c r="J66" s="14">
        <f>J48*Inputs!$H55</f>
        <v>2.0700000000000002E-3</v>
      </c>
      <c r="K66" s="14">
        <f>K48*Inputs!$H55</f>
        <v>2.0700000000000002E-3</v>
      </c>
      <c r="L66" s="14">
        <f>L48*Inputs!$H55</f>
        <v>2.0700000000000002E-3</v>
      </c>
      <c r="M66" s="14">
        <f>M48*Inputs!$H55</f>
        <v>2.0700000000000002E-3</v>
      </c>
      <c r="N66" s="190">
        <f>N48*Inputs!$H55</f>
        <v>2.0700000000000002E-3</v>
      </c>
      <c r="O66" s="14">
        <f>O48*Inputs!$H55</f>
        <v>2.0700000000000002E-3</v>
      </c>
      <c r="P66" s="14">
        <f>P48*Inputs!$H55</f>
        <v>2.0700000000000002E-3</v>
      </c>
      <c r="Q66" s="14">
        <f>Q48*Inputs!$H55</f>
        <v>2.0700000000000002E-3</v>
      </c>
      <c r="R66" s="14">
        <f>R48*Inputs!$H55</f>
        <v>2.0700000000000002E-3</v>
      </c>
      <c r="S66" s="14">
        <f>S48*Inputs!$H55</f>
        <v>2.0700000000000002E-3</v>
      </c>
      <c r="T66" s="14">
        <f>T48*Inputs!$H55</f>
        <v>2.0700000000000002E-3</v>
      </c>
      <c r="U66" s="14">
        <f>U48*Inputs!$H55</f>
        <v>2.0700000000000002E-3</v>
      </c>
      <c r="V66" s="14">
        <f>V48*Inputs!$H55</f>
        <v>2.0700000000000002E-3</v>
      </c>
      <c r="W66" s="14">
        <f>W48*Inputs!$H55</f>
        <v>2.0700000000000002E-3</v>
      </c>
      <c r="X66" s="187">
        <f>X48*Inputs!$H55</f>
        <v>2.0700000000000002E-3</v>
      </c>
      <c r="Y66" s="14">
        <f>Y48*Inputs!$H55</f>
        <v>2.0700000000000002E-3</v>
      </c>
      <c r="Z66" s="14">
        <f>Z48*Inputs!$H55</f>
        <v>2.0700000000000002E-3</v>
      </c>
      <c r="AA66" s="14">
        <f>AA48*Inputs!$H55</f>
        <v>2.0700000000000002E-3</v>
      </c>
      <c r="AB66" s="14">
        <f>AB48*Inputs!$H55</f>
        <v>2.0700000000000002E-3</v>
      </c>
      <c r="AC66" s="14">
        <f>AC48*Inputs!$H55</f>
        <v>2.0700000000000002E-3</v>
      </c>
      <c r="AD66" s="14">
        <f>AD48*Inputs!$H55</f>
        <v>2.0700000000000002E-3</v>
      </c>
      <c r="AE66" s="14">
        <f>AE48*Inputs!$H55</f>
        <v>2.0700000000000002E-3</v>
      </c>
      <c r="AF66" s="14">
        <f>AF48*Inputs!$H55</f>
        <v>2.0700000000000002E-3</v>
      </c>
      <c r="AG66" s="14">
        <f>AG48*Inputs!$H55</f>
        <v>2.0700000000000002E-3</v>
      </c>
      <c r="AH66" s="14">
        <f>AH48*Inputs!$H55</f>
        <v>2.0700000000000002E-3</v>
      </c>
    </row>
    <row r="67" spans="1:34" ht="15">
      <c r="A67" s="8" t="s">
        <v>344</v>
      </c>
      <c r="B67" s="34">
        <v>1</v>
      </c>
      <c r="C67" s="331">
        <f>C49*Inputs!$H51</f>
        <v>2.4300000000000003E-3</v>
      </c>
      <c r="D67" s="331">
        <f>D49*Inputs!$H51</f>
        <v>2.4300000000000003E-3</v>
      </c>
      <c r="E67" s="331">
        <f>E49*Inputs!$H51</f>
        <v>2.4300000000000003E-3</v>
      </c>
      <c r="F67" s="331">
        <f>F49*Inputs!$H51</f>
        <v>2.4300000000000003E-3</v>
      </c>
      <c r="G67" s="331">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1">
        <f>C50*Inputs!$H57</f>
        <v>546.51600000000008</v>
      </c>
      <c r="D68" s="331">
        <f>D50*Inputs!$H57</f>
        <v>725.98500000000013</v>
      </c>
      <c r="E68" s="331">
        <f>E50*Inputs!$H57</f>
        <v>734.47077780000018</v>
      </c>
      <c r="F68" s="331">
        <f>F50*Inputs!$H57</f>
        <v>838.32708600000012</v>
      </c>
      <c r="G68" s="331">
        <f>G50*Inputs!$H57</f>
        <v>986.46428700000024</v>
      </c>
      <c r="H68" s="14">
        <f>H50*Inputs!$H57</f>
        <v>989.52336900000012</v>
      </c>
      <c r="I68" s="14">
        <f>I50*Inputs!$H57</f>
        <v>1058.7346020000002</v>
      </c>
      <c r="J68" s="14">
        <f>J50*Inputs!$H57</f>
        <v>1098.3697416</v>
      </c>
      <c r="K68" s="14">
        <f>K50*Inputs!$H57</f>
        <v>1098.4332060000002</v>
      </c>
      <c r="L68" s="14">
        <f>L50*Inputs!$H57</f>
        <v>1098.4062780000002</v>
      </c>
      <c r="M68" s="14">
        <f>M50*Inputs!$H57</f>
        <v>1098.3425994000002</v>
      </c>
      <c r="N68" s="190">
        <f>N50*Inputs!$H57</f>
        <v>1098.3255552000001</v>
      </c>
      <c r="O68" s="14">
        <f>O50*Inputs!$H57</f>
        <v>1098.3183336000002</v>
      </c>
      <c r="P68" s="14">
        <f>P50*Inputs!$H57</f>
        <v>1098.6762006000004</v>
      </c>
      <c r="Q68" s="14">
        <f>Q50*Inputs!$H57</f>
        <v>1098.4352562000001</v>
      </c>
      <c r="R68" s="14">
        <f>R50*Inputs!$H57</f>
        <v>1098.4164066000001</v>
      </c>
      <c r="S68" s="14">
        <f>S50*Inputs!$H57</f>
        <v>1099.4776146000004</v>
      </c>
      <c r="T68" s="14">
        <f>T50*Inputs!$H57</f>
        <v>1101.135798</v>
      </c>
      <c r="U68" s="14">
        <f>U50*Inputs!$H57</f>
        <v>1102.7153088000002</v>
      </c>
      <c r="V68" s="14">
        <f>V50*Inputs!$H57</f>
        <v>1103.4469548000004</v>
      </c>
      <c r="W68" s="14">
        <f>W50*Inputs!$H57</f>
        <v>1103.7353292000003</v>
      </c>
      <c r="X68" s="187">
        <f>X50*Inputs!$H57</f>
        <v>1105.0548624000003</v>
      </c>
      <c r="Y68" s="14">
        <f>Y50*Inputs!$H57</f>
        <v>1106.6564664000002</v>
      </c>
      <c r="Z68" s="14">
        <f>Z50*Inputs!$H57</f>
        <v>1108.2389760000001</v>
      </c>
      <c r="AA68" s="14">
        <f>AA50*Inputs!$H57</f>
        <v>1109.9194362000001</v>
      </c>
      <c r="AB68" s="14">
        <f>AB50*Inputs!$H57</f>
        <v>1116.9546210000001</v>
      </c>
      <c r="AC68" s="14">
        <f>AC50*Inputs!$H57</f>
        <v>1121.8312512</v>
      </c>
      <c r="AD68" s="14">
        <f>AD50*Inputs!$H57</f>
        <v>1214.2340712000002</v>
      </c>
      <c r="AE68" s="14">
        <f>AE50*Inputs!$H57</f>
        <v>1320.6560364000002</v>
      </c>
      <c r="AF68" s="14">
        <f>AF50*Inputs!$H57</f>
        <v>1349.8174692000005</v>
      </c>
      <c r="AG68" s="14">
        <f>AG50*Inputs!$H57</f>
        <v>1360.1976930000003</v>
      </c>
      <c r="AH68" s="14">
        <f>AH50*Inputs!$H57</f>
        <v>1378.3944726000002</v>
      </c>
    </row>
    <row r="69" spans="1:34" s="20" customFormat="1" ht="15">
      <c r="A69" s="8" t="s">
        <v>128</v>
      </c>
      <c r="B69" s="38"/>
      <c r="C69" s="334">
        <f t="shared" ref="C69:AH69" si="25">SUMPRODUCT($B60:$B68,C60:C68)</f>
        <v>814.22343000000001</v>
      </c>
      <c r="D69" s="334">
        <f t="shared" si="25"/>
        <v>1067.7264300000002</v>
      </c>
      <c r="E69" s="334">
        <f t="shared" si="25"/>
        <v>1020.775639497909</v>
      </c>
      <c r="F69" s="334">
        <f t="shared" si="25"/>
        <v>1124.3448753723169</v>
      </c>
      <c r="G69" s="334">
        <f t="shared" si="25"/>
        <v>1278.2154728321659</v>
      </c>
      <c r="H69" s="19">
        <f t="shared" si="25"/>
        <v>1290.742907349839</v>
      </c>
      <c r="I69" s="19">
        <f t="shared" si="25"/>
        <v>1364.1523884054707</v>
      </c>
      <c r="J69" s="19">
        <f t="shared" si="25"/>
        <v>1417.8474521828562</v>
      </c>
      <c r="K69" s="19">
        <f t="shared" si="25"/>
        <v>1449.0014551654699</v>
      </c>
      <c r="L69" s="19">
        <f t="shared" si="25"/>
        <v>1500.6409904226657</v>
      </c>
      <c r="M69" s="19">
        <f t="shared" si="25"/>
        <v>1555.408028242312</v>
      </c>
      <c r="N69" s="190">
        <f t="shared" si="25"/>
        <v>1568.6274580658696</v>
      </c>
      <c r="O69" s="19">
        <f t="shared" si="25"/>
        <v>1582.2274060599773</v>
      </c>
      <c r="P69" s="19">
        <f t="shared" si="25"/>
        <v>1585.6725437495174</v>
      </c>
      <c r="Q69" s="19">
        <f t="shared" si="25"/>
        <v>1598.7796250097538</v>
      </c>
      <c r="R69" s="19">
        <f t="shared" si="25"/>
        <v>1620.5204698735904</v>
      </c>
      <c r="S69" s="19">
        <f t="shared" si="25"/>
        <v>1613.813963851768</v>
      </c>
      <c r="T69" s="19">
        <f t="shared" si="25"/>
        <v>1648.0067906488812</v>
      </c>
      <c r="U69" s="19">
        <f t="shared" si="25"/>
        <v>1659.5470297275297</v>
      </c>
      <c r="V69" s="19">
        <f t="shared" si="25"/>
        <v>1665.1973097470704</v>
      </c>
      <c r="W69" s="19">
        <f t="shared" si="25"/>
        <v>1666.2524436288641</v>
      </c>
      <c r="X69" s="182">
        <f t="shared" si="25"/>
        <v>1675.0571637476564</v>
      </c>
      <c r="Y69" s="19">
        <f t="shared" si="25"/>
        <v>1692.607069620195</v>
      </c>
      <c r="Z69" s="19">
        <f t="shared" si="25"/>
        <v>1717.6032779871798</v>
      </c>
      <c r="AA69" s="19">
        <f t="shared" si="25"/>
        <v>1736.3233282599367</v>
      </c>
      <c r="AB69" s="19">
        <f t="shared" si="25"/>
        <v>1756.3078975419876</v>
      </c>
      <c r="AC69" s="19">
        <f t="shared" si="25"/>
        <v>1767.8261240720435</v>
      </c>
      <c r="AD69" s="19">
        <f t="shared" si="25"/>
        <v>1879.83709330582</v>
      </c>
      <c r="AE69" s="19">
        <f t="shared" si="25"/>
        <v>2005.1639161395769</v>
      </c>
      <c r="AF69" s="19">
        <f t="shared" si="25"/>
        <v>2047.8636338228214</v>
      </c>
      <c r="AG69" s="19">
        <f t="shared" si="25"/>
        <v>2075.2220515890144</v>
      </c>
      <c r="AH69" s="19">
        <f t="shared" si="25"/>
        <v>2112.4045727999737</v>
      </c>
    </row>
    <row r="70" spans="1:34" s="20" customFormat="1" ht="15">
      <c r="A70" s="27" t="s">
        <v>329</v>
      </c>
      <c r="B70" s="39"/>
      <c r="C70" s="334">
        <f>SUM(C58:C68)</f>
        <v>11496.061080000001</v>
      </c>
      <c r="D70" s="334">
        <f t="shared" ref="D70:AH70" si="26">SUM(D58:D68)</f>
        <v>11450.971080000001</v>
      </c>
      <c r="E70" s="334">
        <f t="shared" si="26"/>
        <v>13671.329159247911</v>
      </c>
      <c r="F70" s="334">
        <f t="shared" si="26"/>
        <v>13622.474638122316</v>
      </c>
      <c r="G70" s="334">
        <f t="shared" si="26"/>
        <v>11573.102580082166</v>
      </c>
      <c r="H70" s="19">
        <f t="shared" si="26"/>
        <v>11792.47332009984</v>
      </c>
      <c r="I70" s="19">
        <f t="shared" si="26"/>
        <v>12052.69122690547</v>
      </c>
      <c r="J70" s="19">
        <f t="shared" si="26"/>
        <v>12285.877313682855</v>
      </c>
      <c r="K70" s="19">
        <f t="shared" si="26"/>
        <v>12437.048942415469</v>
      </c>
      <c r="L70" s="19">
        <f t="shared" si="26"/>
        <v>12445.999479672668</v>
      </c>
      <c r="M70" s="19">
        <f t="shared" si="26"/>
        <v>12500.769784492313</v>
      </c>
      <c r="N70" s="182">
        <f t="shared" si="26"/>
        <v>12513.985947315869</v>
      </c>
      <c r="O70" s="19">
        <f t="shared" si="26"/>
        <v>12578.857005309979</v>
      </c>
      <c r="P70" s="19">
        <f t="shared" si="26"/>
        <v>12582.298875999521</v>
      </c>
      <c r="Q70" s="19">
        <f t="shared" si="26"/>
        <v>12595.404843509757</v>
      </c>
      <c r="R70" s="19">
        <f t="shared" si="26"/>
        <v>12617.145688373592</v>
      </c>
      <c r="S70" s="19">
        <f t="shared" si="26"/>
        <v>12610.439182351769</v>
      </c>
      <c r="T70" s="19">
        <f t="shared" si="26"/>
        <v>12644.630821148883</v>
      </c>
      <c r="U70" s="19">
        <f t="shared" si="26"/>
        <v>12656.171060227531</v>
      </c>
      <c r="V70" s="19">
        <f t="shared" si="26"/>
        <v>12661.821340247074</v>
      </c>
      <c r="W70" s="19">
        <f t="shared" si="26"/>
        <v>12723.069761128865</v>
      </c>
      <c r="X70" s="182">
        <f t="shared" si="26"/>
        <v>12731.874481247658</v>
      </c>
      <c r="Y70" s="19">
        <f t="shared" si="26"/>
        <v>12762.484071120196</v>
      </c>
      <c r="Z70" s="19">
        <f t="shared" si="26"/>
        <v>12787.480353737181</v>
      </c>
      <c r="AA70" s="19">
        <f t="shared" si="26"/>
        <v>12806.200404009938</v>
      </c>
      <c r="AB70" s="19">
        <f t="shared" si="26"/>
        <v>12826.184973291989</v>
      </c>
      <c r="AC70" s="19">
        <f t="shared" si="26"/>
        <v>12856.919396822041</v>
      </c>
      <c r="AD70" s="19">
        <f t="shared" si="26"/>
        <v>12968.933707305821</v>
      </c>
      <c r="AE70" s="19">
        <f t="shared" si="26"/>
        <v>13094.258228389579</v>
      </c>
      <c r="AF70" s="19">
        <f t="shared" si="26"/>
        <v>13136.954530572822</v>
      </c>
      <c r="AG70" s="19">
        <f t="shared" si="26"/>
        <v>13210.728182589017</v>
      </c>
      <c r="AH70" s="19">
        <f t="shared" si="26"/>
        <v>13247.909664299978</v>
      </c>
    </row>
    <row r="71" spans="1:34" s="20" customFormat="1" ht="15">
      <c r="A71" s="27" t="s">
        <v>142</v>
      </c>
      <c r="B71" s="39"/>
      <c r="C71" s="334">
        <f>C53*Inputs!$H$60</f>
        <v>740.322</v>
      </c>
      <c r="D71" s="334">
        <f>D53*Inputs!$H$60</f>
        <v>844.173</v>
      </c>
      <c r="E71" s="334">
        <f>E53*Inputs!$H$60</f>
        <v>629.79588674120862</v>
      </c>
      <c r="F71" s="334">
        <f>F53*Inputs!$H$60</f>
        <v>631.54661371393001</v>
      </c>
      <c r="G71" s="334">
        <f>G53*Inputs!$H$60</f>
        <v>585.01690154106257</v>
      </c>
      <c r="H71" s="19">
        <f>H53*Inputs!$H$60</f>
        <v>607.51646992969188</v>
      </c>
      <c r="I71" s="19">
        <f>I53*Inputs!$H$60</f>
        <v>658.01050681253446</v>
      </c>
      <c r="J71" s="19">
        <f>J53*Inputs!$H$60</f>
        <v>654.19711277787542</v>
      </c>
      <c r="K71" s="19">
        <f>K53*Inputs!$H$60</f>
        <v>673.78704532530389</v>
      </c>
      <c r="L71" s="19">
        <f>L53*Inputs!$H$60</f>
        <v>678.10837231077301</v>
      </c>
      <c r="M71" s="19">
        <f>M53*Inputs!$H$60</f>
        <v>676.798934455834</v>
      </c>
      <c r="N71" s="190">
        <f>N53*Inputs!$H$60</f>
        <v>677.27194134307297</v>
      </c>
      <c r="O71" s="19">
        <f>O53*Inputs!$H$60</f>
        <v>657.31478692962992</v>
      </c>
      <c r="P71" s="19">
        <f>P53*Inputs!$H$60</f>
        <v>648.82785781659516</v>
      </c>
      <c r="Q71" s="19">
        <f>Q53*Inputs!$H$60</f>
        <v>649.06964320784186</v>
      </c>
      <c r="R71" s="19">
        <f>R53*Inputs!$H$60</f>
        <v>649.02214480473287</v>
      </c>
      <c r="S71" s="19">
        <f>S53*Inputs!$H$60</f>
        <v>649.27850054632393</v>
      </c>
      <c r="T71" s="19">
        <f>T53*Inputs!$H$60</f>
        <v>647.12264166965349</v>
      </c>
      <c r="U71" s="19">
        <f>U53*Inputs!$H$60</f>
        <v>646.1387126405026</v>
      </c>
      <c r="V71" s="19">
        <f>V53*Inputs!$H$60</f>
        <v>645.19352832742993</v>
      </c>
      <c r="W71" s="19">
        <f>W53*Inputs!$H$60</f>
        <v>644.55515083299065</v>
      </c>
      <c r="X71" s="182">
        <f>X53*Inputs!$H$60</f>
        <v>643.80381530203022</v>
      </c>
      <c r="Y71" s="19">
        <f>Y53*Inputs!$H$60</f>
        <v>643.0111632029616</v>
      </c>
      <c r="Z71" s="19">
        <f>Z53*Inputs!$H$60</f>
        <v>640.63738029647436</v>
      </c>
      <c r="AA71" s="19">
        <f>AA53*Inputs!$H$60</f>
        <v>639.86404056295339</v>
      </c>
      <c r="AB71" s="19">
        <f>AB53*Inputs!$H$60</f>
        <v>639.14034331202299</v>
      </c>
      <c r="AC71" s="19">
        <f>AC53*Inputs!$H$60</f>
        <v>638.58692040238691</v>
      </c>
      <c r="AD71" s="19">
        <f>AD53*Inputs!$H$60</f>
        <v>638.20807564322274</v>
      </c>
      <c r="AE71" s="19">
        <f>AE53*Inputs!$H$60</f>
        <v>637.3616754884448</v>
      </c>
      <c r="AF71" s="19">
        <f>AF53*Inputs!$H$60</f>
        <v>636.61300571080574</v>
      </c>
      <c r="AG71" s="19">
        <f>AG53*Inputs!$H$60</f>
        <v>635.94941050295279</v>
      </c>
      <c r="AH71" s="19">
        <f>AH53*Inputs!$H$60</f>
        <v>635.19682295477708</v>
      </c>
    </row>
    <row r="72" spans="1:34" s="20" customFormat="1" ht="15">
      <c r="A72" s="27" t="s">
        <v>222</v>
      </c>
      <c r="B72" s="39"/>
      <c r="C72" s="334">
        <f>C54*Inputs!$H$61</f>
        <v>1185.1289999999999</v>
      </c>
      <c r="D72" s="334">
        <f>D54*Inputs!$H$61</f>
        <v>1025.5409999999999</v>
      </c>
      <c r="E72" s="334">
        <f>E54*Inputs!$H$61</f>
        <v>885.22139276999985</v>
      </c>
      <c r="F72" s="334">
        <f>F54*Inputs!$H$61</f>
        <v>1060.25333535</v>
      </c>
      <c r="G72" s="334">
        <f>G54*Inputs!$H$61</f>
        <v>1311.8138292600001</v>
      </c>
      <c r="H72" s="19">
        <f>H54*Inputs!$H$61</f>
        <v>1285.5023943300002</v>
      </c>
      <c r="I72" s="19">
        <f>I54*Inputs!$H$61</f>
        <v>831.28501071000005</v>
      </c>
      <c r="J72" s="19">
        <f>J54*Inputs!$H$61</f>
        <v>898.69371372000001</v>
      </c>
      <c r="K72" s="19">
        <f>K54*Inputs!$H$61</f>
        <v>892.94604201000016</v>
      </c>
      <c r="L72" s="19">
        <f>L54*Inputs!$H$61</f>
        <v>985.78884788999994</v>
      </c>
      <c r="M72" s="19">
        <f>M54*Inputs!$H$61</f>
        <v>1024.8322629600002</v>
      </c>
      <c r="N72" s="190">
        <f>N54*Inputs!$H$61</f>
        <v>1069.00013979</v>
      </c>
      <c r="O72" s="19">
        <f>O54*Inputs!$H$61</f>
        <v>1228.8607224299999</v>
      </c>
      <c r="P72" s="19">
        <f>P54*Inputs!$H$61</f>
        <v>1377.7636356</v>
      </c>
      <c r="Q72" s="19">
        <f>Q54*Inputs!$H$61</f>
        <v>1476.4241190600003</v>
      </c>
      <c r="R72" s="19">
        <f>R54*Inputs!$H$61</f>
        <v>1515.30146064</v>
      </c>
      <c r="S72" s="19">
        <f>S54*Inputs!$H$61</f>
        <v>1593.1711095300004</v>
      </c>
      <c r="T72" s="19">
        <f>T54*Inputs!$H$61</f>
        <v>1699.9730163900003</v>
      </c>
      <c r="U72" s="19">
        <f>U54*Inputs!$H$61</f>
        <v>1762.1775755100002</v>
      </c>
      <c r="V72" s="19">
        <f>V54*Inputs!$H$61</f>
        <v>1805.7646629000003</v>
      </c>
      <c r="W72" s="19">
        <f>W54*Inputs!$H$61</f>
        <v>1900.4858126100003</v>
      </c>
      <c r="X72" s="182">
        <f>X54*Inputs!$H$61</f>
        <v>1984.44166866</v>
      </c>
      <c r="Y72" s="19">
        <f>Y54*Inputs!$H$61</f>
        <v>1983.2635973699998</v>
      </c>
      <c r="Z72" s="19">
        <f>Z54*Inputs!$H$61</f>
        <v>2063.7173957400009</v>
      </c>
      <c r="AA72" s="19">
        <f>AA54*Inputs!$H$61</f>
        <v>2101.3930634399999</v>
      </c>
      <c r="AB72" s="19">
        <f>AB54*Inputs!$H$61</f>
        <v>2120.6045826900004</v>
      </c>
      <c r="AC72" s="19">
        <f>AC54*Inputs!$H$61</f>
        <v>2145.7390155300004</v>
      </c>
      <c r="AD72" s="19">
        <f>AD54*Inputs!$H$61</f>
        <v>2131.9952247000001</v>
      </c>
      <c r="AE72" s="19">
        <f>AE54*Inputs!$H$61</f>
        <v>2138.42932281</v>
      </c>
      <c r="AF72" s="19">
        <f>AF54*Inputs!$H$61</f>
        <v>2172.7917268200003</v>
      </c>
      <c r="AG72" s="19">
        <f>AG54*Inputs!$H$61</f>
        <v>2253.9326198400004</v>
      </c>
      <c r="AH72" s="19">
        <f>AH54*Inputs!$H$61</f>
        <v>2326.0597024500003</v>
      </c>
    </row>
    <row r="73" spans="1:34" ht="15">
      <c r="A73" s="27" t="s">
        <v>58</v>
      </c>
      <c r="C73" s="331">
        <f>SUM(C70:C72)</f>
        <v>13421.51208</v>
      </c>
      <c r="D73" s="331">
        <f t="shared" ref="D73:AH73" si="27">SUM(D70:D72)</f>
        <v>13320.685080000001</v>
      </c>
      <c r="E73" s="331">
        <f t="shared" si="27"/>
        <v>15186.346438759119</v>
      </c>
      <c r="F73" s="331">
        <f t="shared" si="27"/>
        <v>15314.274587186246</v>
      </c>
      <c r="G73" s="331">
        <f t="shared" si="27"/>
        <v>13469.933310883229</v>
      </c>
      <c r="H73" s="14">
        <f t="shared" si="27"/>
        <v>13685.492184359531</v>
      </c>
      <c r="I73" s="14">
        <f t="shared" si="27"/>
        <v>13541.986744428004</v>
      </c>
      <c r="J73" s="14">
        <f t="shared" si="27"/>
        <v>13838.768140180731</v>
      </c>
      <c r="K73" s="14">
        <f t="shared" si="27"/>
        <v>14003.782029750773</v>
      </c>
      <c r="L73" s="14">
        <f t="shared" si="27"/>
        <v>14109.896699873441</v>
      </c>
      <c r="M73" s="14">
        <f t="shared" si="27"/>
        <v>14202.400981908148</v>
      </c>
      <c r="N73" s="190">
        <f t="shared" si="27"/>
        <v>14260.258028448941</v>
      </c>
      <c r="O73" s="14">
        <f t="shared" si="27"/>
        <v>14465.032514669609</v>
      </c>
      <c r="P73" s="14">
        <f t="shared" si="27"/>
        <v>14608.890369416116</v>
      </c>
      <c r="Q73" s="14">
        <f t="shared" si="27"/>
        <v>14720.8986057776</v>
      </c>
      <c r="R73" s="14">
        <f t="shared" si="27"/>
        <v>14781.469293818323</v>
      </c>
      <c r="S73" s="14">
        <f t="shared" si="27"/>
        <v>14852.888792428093</v>
      </c>
      <c r="T73" s="14">
        <f t="shared" si="27"/>
        <v>14991.726479208537</v>
      </c>
      <c r="U73" s="14">
        <f t="shared" si="27"/>
        <v>15064.487348378034</v>
      </c>
      <c r="V73" s="14">
        <f t="shared" si="27"/>
        <v>15112.779531474505</v>
      </c>
      <c r="W73" s="14">
        <f t="shared" si="27"/>
        <v>15268.110724571856</v>
      </c>
      <c r="X73" s="187">
        <f t="shared" si="27"/>
        <v>15360.119965209688</v>
      </c>
      <c r="Y73" s="14">
        <f t="shared" si="27"/>
        <v>15388.758831693158</v>
      </c>
      <c r="Z73" s="14">
        <f t="shared" si="27"/>
        <v>15491.835129773655</v>
      </c>
      <c r="AA73" s="14">
        <f t="shared" si="27"/>
        <v>15547.457508012893</v>
      </c>
      <c r="AB73" s="14">
        <f t="shared" si="27"/>
        <v>15585.929899294013</v>
      </c>
      <c r="AC73" s="14">
        <f t="shared" si="27"/>
        <v>15641.245332754428</v>
      </c>
      <c r="AD73" s="14">
        <f t="shared" si="27"/>
        <v>15739.137007649044</v>
      </c>
      <c r="AE73" s="14">
        <f t="shared" si="27"/>
        <v>15870.049226688023</v>
      </c>
      <c r="AF73" s="14">
        <f t="shared" si="27"/>
        <v>15946.359263103628</v>
      </c>
      <c r="AG73" s="14">
        <f t="shared" si="27"/>
        <v>16100.61021293197</v>
      </c>
      <c r="AH73" s="14">
        <f t="shared" si="27"/>
        <v>16209.166189704754</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5">
        <f>'backup - EIA liq_fuelS_aeo2014'!E46</f>
        <v>273.77869168296451</v>
      </c>
      <c r="D78" s="335">
        <f>'backup - EIA liq_fuelS_aeo2014'!F46</f>
        <v>330.59007454663532</v>
      </c>
      <c r="E78" s="335">
        <f>'backup - EIA liq_fuelS_aeo2014'!G46</f>
        <v>346.41273999999999</v>
      </c>
      <c r="F78" s="335">
        <f>'backup - EIA liq_fuelS_aeo2014'!H46</f>
        <v>332.23648773503913</v>
      </c>
      <c r="G78" s="335">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0">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1">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0" t="e">
        <f>C78*Inputs!$C58</f>
        <v>#REF!</v>
      </c>
      <c r="D83" s="330" t="e">
        <f>D78*Inputs!$C58</f>
        <v>#REF!</v>
      </c>
      <c r="E83" s="330" t="e">
        <f>E78*Inputs!$C58</f>
        <v>#REF!</v>
      </c>
      <c r="F83" s="330" t="e">
        <f>F78*Inputs!$C58</f>
        <v>#REF!</v>
      </c>
      <c r="G83" s="330" t="e">
        <f>G78*Inputs!$C58</f>
        <v>#REF!</v>
      </c>
      <c r="H83" s="50" t="e">
        <f>H78*Inputs!$C58</f>
        <v>#REF!</v>
      </c>
      <c r="I83" s="50" t="e">
        <f>I78*Inputs!$C58</f>
        <v>#REF!</v>
      </c>
      <c r="J83" s="50" t="e">
        <f>J78*Inputs!$C58</f>
        <v>#REF!</v>
      </c>
      <c r="K83" s="50" t="e">
        <f>K78*Inputs!$C58</f>
        <v>#REF!</v>
      </c>
      <c r="L83" s="50" t="e">
        <f>L78*Inputs!$C58</f>
        <v>#REF!</v>
      </c>
      <c r="M83" s="50" t="e">
        <f>M78*Inputs!$C58</f>
        <v>#REF!</v>
      </c>
      <c r="N83" s="388"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tabSelected="1"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7" customWidth="1"/>
    <col min="6" max="6" width="9" style="417" customWidth="1"/>
    <col min="7" max="7" width="9.6640625" style="81" customWidth="1"/>
    <col min="8" max="8" width="10.83203125" style="417" customWidth="1"/>
    <col min="9" max="9" width="5.6640625" style="417" bestFit="1" customWidth="1"/>
    <col min="10" max="10" width="9.33203125" style="417" customWidth="1"/>
    <col min="11" max="11" width="6.5" style="417" customWidth="1"/>
    <col min="12" max="12" width="9.6640625" style="417" customWidth="1"/>
    <col min="13" max="13" width="5.6640625" style="417"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48"/>
      <c r="B1" s="548"/>
      <c r="C1" s="548"/>
      <c r="D1" s="548"/>
      <c r="E1" s="548"/>
      <c r="F1" s="548"/>
      <c r="G1" s="548"/>
      <c r="H1" s="548"/>
      <c r="I1" s="548"/>
      <c r="J1" s="548"/>
      <c r="K1" s="548"/>
      <c r="L1" s="548"/>
      <c r="M1" s="548"/>
      <c r="N1" s="548"/>
      <c r="O1" s="548"/>
      <c r="P1" s="548"/>
    </row>
    <row r="2" spans="1:16">
      <c r="A2" s="548"/>
      <c r="B2" s="548"/>
      <c r="C2" s="548"/>
      <c r="D2" s="548"/>
      <c r="E2" s="548"/>
      <c r="F2" s="548"/>
      <c r="G2" s="548"/>
      <c r="H2" s="548"/>
      <c r="I2" s="548"/>
      <c r="J2" s="548"/>
      <c r="K2" s="548"/>
      <c r="L2" s="548"/>
      <c r="M2" s="548"/>
      <c r="N2" s="548"/>
      <c r="O2" s="548"/>
      <c r="P2" s="548"/>
    </row>
    <row r="3" spans="1:16">
      <c r="A3" s="548"/>
      <c r="B3" s="548"/>
      <c r="C3" s="548"/>
      <c r="D3" s="548"/>
      <c r="E3" s="548"/>
      <c r="F3" s="548"/>
      <c r="G3" s="548"/>
      <c r="H3" s="548"/>
      <c r="I3" s="548"/>
      <c r="J3" s="548"/>
      <c r="K3" s="548"/>
      <c r="L3" s="548"/>
      <c r="M3" s="548"/>
      <c r="N3" s="548"/>
      <c r="O3" s="548"/>
      <c r="P3" s="548"/>
    </row>
    <row r="4" spans="1:16">
      <c r="A4" s="548"/>
      <c r="B4" s="548"/>
      <c r="C4" s="548"/>
      <c r="D4" s="548"/>
      <c r="E4" s="548"/>
      <c r="F4" s="548"/>
      <c r="G4" s="548"/>
      <c r="H4" s="548"/>
      <c r="I4" s="548"/>
      <c r="J4" s="548"/>
      <c r="K4" s="548"/>
      <c r="L4" s="548"/>
      <c r="M4" s="548"/>
      <c r="N4" s="548"/>
      <c r="O4" s="548"/>
      <c r="P4" s="548"/>
    </row>
    <row r="5" spans="1:16">
      <c r="A5" s="548"/>
      <c r="B5" s="548"/>
      <c r="C5" s="548"/>
      <c r="D5" s="548"/>
      <c r="E5" s="548"/>
      <c r="F5" s="548"/>
      <c r="G5" s="548"/>
      <c r="H5" s="548"/>
      <c r="I5" s="548"/>
      <c r="J5" s="548"/>
      <c r="K5" s="548"/>
      <c r="L5" s="548"/>
      <c r="M5" s="548"/>
      <c r="N5" s="548"/>
      <c r="O5" s="548"/>
      <c r="P5" s="548"/>
    </row>
    <row r="6" spans="1:16">
      <c r="A6" s="548"/>
      <c r="B6" s="548"/>
      <c r="C6" s="548"/>
      <c r="D6" s="548"/>
      <c r="E6" s="548"/>
      <c r="F6" s="548"/>
      <c r="G6" s="548"/>
      <c r="H6" s="548"/>
      <c r="I6" s="548"/>
      <c r="J6" s="548"/>
      <c r="K6" s="548"/>
      <c r="L6" s="548"/>
      <c r="M6" s="548"/>
      <c r="N6" s="548"/>
      <c r="O6" s="548"/>
      <c r="P6" s="548"/>
    </row>
    <row r="7" spans="1:16">
      <c r="A7" s="548"/>
      <c r="B7" s="548"/>
      <c r="C7" s="548"/>
      <c r="D7" s="548"/>
      <c r="E7" s="548"/>
      <c r="F7" s="548"/>
      <c r="G7" s="548"/>
      <c r="H7" s="548"/>
      <c r="I7" s="548"/>
      <c r="J7" s="548"/>
      <c r="K7" s="548"/>
      <c r="L7" s="548"/>
      <c r="M7" s="548"/>
      <c r="N7" s="548"/>
      <c r="O7" s="548"/>
      <c r="P7" s="548"/>
    </row>
    <row r="8" spans="1:16">
      <c r="A8" s="548"/>
      <c r="B8" s="548"/>
      <c r="C8" s="548"/>
      <c r="D8" s="548"/>
      <c r="E8" s="548"/>
      <c r="F8" s="548"/>
      <c r="G8" s="548"/>
      <c r="H8" s="548"/>
      <c r="I8" s="548"/>
      <c r="J8" s="548"/>
      <c r="K8" s="548"/>
      <c r="L8" s="548"/>
      <c r="M8" s="548"/>
      <c r="N8" s="548"/>
      <c r="O8" s="548"/>
      <c r="P8" s="548"/>
    </row>
    <row r="9" spans="1:16" ht="2.25" customHeight="1">
      <c r="A9" s="548"/>
      <c r="B9" s="548"/>
      <c r="C9" s="548"/>
      <c r="D9" s="548"/>
      <c r="E9" s="548"/>
      <c r="F9" s="548"/>
      <c r="G9" s="548"/>
      <c r="H9" s="548"/>
      <c r="I9" s="548"/>
      <c r="J9" s="548"/>
      <c r="K9" s="548"/>
      <c r="L9" s="548"/>
      <c r="M9" s="548"/>
      <c r="N9" s="548"/>
      <c r="O9" s="548"/>
      <c r="P9" s="548"/>
    </row>
    <row r="10" spans="1:16" hidden="1">
      <c r="A10" s="548"/>
      <c r="B10" s="548"/>
      <c r="C10" s="548"/>
      <c r="D10" s="548"/>
      <c r="E10" s="548"/>
      <c r="F10" s="548"/>
      <c r="G10" s="548"/>
      <c r="H10" s="548"/>
      <c r="I10" s="548"/>
      <c r="J10" s="548"/>
      <c r="K10" s="548"/>
      <c r="L10" s="548"/>
      <c r="M10" s="548"/>
      <c r="N10" s="548"/>
      <c r="O10" s="548"/>
      <c r="P10" s="548"/>
    </row>
    <row r="11" spans="1:16">
      <c r="A11" s="549" t="s">
        <v>212</v>
      </c>
      <c r="B11" s="551">
        <v>2000</v>
      </c>
      <c r="C11" s="553" t="s">
        <v>219</v>
      </c>
      <c r="D11" s="553" t="s">
        <v>556</v>
      </c>
      <c r="E11" s="556" t="s">
        <v>213</v>
      </c>
      <c r="F11" s="557"/>
      <c r="G11" s="551"/>
      <c r="H11" s="560" t="s">
        <v>557</v>
      </c>
      <c r="I11" s="561"/>
      <c r="J11" s="561"/>
      <c r="K11" s="561"/>
      <c r="L11" s="561"/>
      <c r="M11" s="561"/>
      <c r="N11" s="561"/>
      <c r="O11" s="562"/>
    </row>
    <row r="12" spans="1:16">
      <c r="A12" s="550"/>
      <c r="B12" s="552"/>
      <c r="C12" s="554"/>
      <c r="D12" s="554"/>
      <c r="E12" s="558"/>
      <c r="F12" s="559"/>
      <c r="G12" s="552"/>
      <c r="H12" s="559" t="s">
        <v>214</v>
      </c>
      <c r="I12" s="552"/>
      <c r="J12" s="558" t="s">
        <v>215</v>
      </c>
      <c r="K12" s="552"/>
      <c r="L12" s="558" t="s">
        <v>216</v>
      </c>
      <c r="M12" s="559"/>
      <c r="N12" s="559"/>
      <c r="O12" s="552"/>
    </row>
    <row r="13" spans="1:16" ht="67" thickBot="1">
      <c r="A13" s="211" t="s">
        <v>217</v>
      </c>
      <c r="B13" s="211" t="s">
        <v>218</v>
      </c>
      <c r="C13" s="555"/>
      <c r="D13" s="555"/>
      <c r="E13" s="411" t="s">
        <v>558</v>
      </c>
      <c r="F13" s="435" t="s">
        <v>559</v>
      </c>
      <c r="G13" s="212" t="s">
        <v>308</v>
      </c>
      <c r="H13" s="423" t="s">
        <v>360</v>
      </c>
      <c r="I13" s="435" t="s">
        <v>560</v>
      </c>
      <c r="J13" s="411" t="s">
        <v>360</v>
      </c>
      <c r="K13" s="435" t="s">
        <v>560</v>
      </c>
      <c r="L13" s="411" t="s">
        <v>360</v>
      </c>
      <c r="M13" s="435" t="s">
        <v>560</v>
      </c>
      <c r="N13" s="212" t="s">
        <v>58</v>
      </c>
      <c r="O13" s="212" t="s">
        <v>561</v>
      </c>
    </row>
    <row r="14" spans="1:16" ht="13" thickTop="1">
      <c r="A14" s="443" t="s">
        <v>562</v>
      </c>
      <c r="B14" s="443" t="s">
        <v>563</v>
      </c>
      <c r="C14" s="444">
        <v>0.85</v>
      </c>
      <c r="D14" s="445">
        <v>40</v>
      </c>
      <c r="E14" s="433">
        <v>4.29</v>
      </c>
      <c r="F14" s="446">
        <v>1.53</v>
      </c>
      <c r="G14" s="434">
        <v>0</v>
      </c>
      <c r="H14" s="447">
        <f t="shared" ref="H14:H32" si="0">E14/D14</f>
        <v>0.10725</v>
      </c>
      <c r="I14" s="434">
        <f t="shared" ref="I14:I32" si="1">F14+G14*8760/1000*C14</f>
        <v>1.53</v>
      </c>
      <c r="J14" s="448">
        <f t="shared" ref="J14:J32" si="2">H14/C14</f>
        <v>0.12617647058823531</v>
      </c>
      <c r="K14" s="434">
        <f t="shared" ref="K14:K32" si="3">I14/C14</f>
        <v>1.8</v>
      </c>
      <c r="L14" s="448">
        <f t="shared" ref="L14:M31" si="4">J14/8760*1000</f>
        <v>1.4403706688154716E-2</v>
      </c>
      <c r="M14" s="434">
        <f t="shared" si="4"/>
        <v>0.20547945205479454</v>
      </c>
      <c r="N14" s="449">
        <f t="shared" ref="N14:N32" si="5">SUM(L14:M14)</f>
        <v>0.21988315874294925</v>
      </c>
      <c r="O14" s="544">
        <f>AVERAGE(N14:N15)</f>
        <v>0.20532702121944668</v>
      </c>
    </row>
    <row r="15" spans="1:16" ht="13" thickBot="1">
      <c r="A15" s="223" t="s">
        <v>564</v>
      </c>
      <c r="B15" s="223" t="s">
        <v>565</v>
      </c>
      <c r="C15" s="224">
        <v>0.85</v>
      </c>
      <c r="D15" s="225">
        <v>40</v>
      </c>
      <c r="E15" s="226">
        <v>8.5</v>
      </c>
      <c r="F15" s="432">
        <v>0.24</v>
      </c>
      <c r="G15" s="531">
        <v>0.13</v>
      </c>
      <c r="H15" s="414">
        <f t="shared" si="0"/>
        <v>0.21249999999999999</v>
      </c>
      <c r="I15" s="531">
        <f t="shared" si="1"/>
        <v>1.2079800000000001</v>
      </c>
      <c r="J15" s="427">
        <f t="shared" si="2"/>
        <v>0.25</v>
      </c>
      <c r="K15" s="531">
        <f t="shared" si="3"/>
        <v>1.4211529411764707</v>
      </c>
      <c r="L15" s="427">
        <f t="shared" si="4"/>
        <v>2.8538812785388126E-2</v>
      </c>
      <c r="M15" s="531">
        <f t="shared" si="4"/>
        <v>0.16223207091055603</v>
      </c>
      <c r="N15" s="419">
        <f t="shared" si="5"/>
        <v>0.19077088369594414</v>
      </c>
      <c r="O15" s="545"/>
    </row>
    <row r="16" spans="1:16">
      <c r="A16" s="227" t="s">
        <v>566</v>
      </c>
      <c r="B16" s="227" t="s">
        <v>567</v>
      </c>
      <c r="C16" s="228">
        <v>0.9</v>
      </c>
      <c r="D16" s="229">
        <v>40</v>
      </c>
      <c r="E16" s="230">
        <f>36000/5600</f>
        <v>6.4285714285714288</v>
      </c>
      <c r="F16" s="464">
        <f>10000/5600</f>
        <v>1.7857142857142858</v>
      </c>
      <c r="G16" s="230">
        <v>0</v>
      </c>
      <c r="H16" s="412">
        <f t="shared" si="0"/>
        <v>0.16071428571428573</v>
      </c>
      <c r="I16" s="532">
        <f t="shared" si="1"/>
        <v>1.7857142857142858</v>
      </c>
      <c r="J16" s="428">
        <f t="shared" si="2"/>
        <v>0.17857142857142858</v>
      </c>
      <c r="K16" s="532">
        <f t="shared" si="3"/>
        <v>1.9841269841269842</v>
      </c>
      <c r="L16" s="428">
        <f t="shared" si="4"/>
        <v>2.0384866275277233E-2</v>
      </c>
      <c r="M16" s="532">
        <f t="shared" si="4"/>
        <v>0.22649851416974706</v>
      </c>
      <c r="N16" s="421">
        <f t="shared" si="5"/>
        <v>0.24688338044502428</v>
      </c>
      <c r="O16" s="546">
        <f>AVERAGE(N16:N18)</f>
        <v>0.24750247638375492</v>
      </c>
    </row>
    <row r="17" spans="1:15">
      <c r="A17" s="217" t="s">
        <v>568</v>
      </c>
      <c r="B17" s="217" t="s">
        <v>312</v>
      </c>
      <c r="C17" s="218">
        <v>0.9</v>
      </c>
      <c r="D17" s="219">
        <v>40</v>
      </c>
      <c r="E17" s="216">
        <v>17.5</v>
      </c>
      <c r="F17" s="530">
        <v>1.7</v>
      </c>
      <c r="G17" s="216">
        <v>0</v>
      </c>
      <c r="H17" s="529">
        <f>E17/D17</f>
        <v>0.4375</v>
      </c>
      <c r="I17" s="533">
        <f>F17+G17*8760/1000*C17</f>
        <v>1.7</v>
      </c>
      <c r="J17" s="429">
        <f>H17/C17</f>
        <v>0.4861111111111111</v>
      </c>
      <c r="K17" s="533">
        <f>I17/C17</f>
        <v>1.8888888888888888</v>
      </c>
      <c r="L17" s="429">
        <f t="shared" si="4"/>
        <v>5.5492135971588023E-2</v>
      </c>
      <c r="M17" s="533">
        <f t="shared" si="4"/>
        <v>0.21562658548959918</v>
      </c>
      <c r="N17" s="420">
        <f>SUM(L17:M17)</f>
        <v>0.27111872146118721</v>
      </c>
      <c r="O17" s="547"/>
    </row>
    <row r="18" spans="1:15" ht="13" thickBot="1">
      <c r="A18" s="451" t="s">
        <v>569</v>
      </c>
      <c r="B18" s="451" t="s">
        <v>563</v>
      </c>
      <c r="C18" s="452">
        <v>0.9</v>
      </c>
      <c r="D18" s="453">
        <v>40</v>
      </c>
      <c r="E18" s="438">
        <v>4</v>
      </c>
      <c r="F18" s="450">
        <v>1.67</v>
      </c>
      <c r="G18" s="438">
        <v>0</v>
      </c>
      <c r="H18" s="454">
        <f>E18/D18</f>
        <v>0.1</v>
      </c>
      <c r="I18" s="439">
        <f>F18+G18*8760/1000*C18</f>
        <v>1.67</v>
      </c>
      <c r="J18" s="441">
        <f>H18/C18</f>
        <v>0.11111111111111112</v>
      </c>
      <c r="K18" s="439">
        <f>I18/C18</f>
        <v>1.8555555555555554</v>
      </c>
      <c r="L18" s="441">
        <f t="shared" si="4"/>
        <v>1.2683916793505836E-2</v>
      </c>
      <c r="M18" s="439">
        <f t="shared" si="4"/>
        <v>0.21182141045154743</v>
      </c>
      <c r="N18" s="442">
        <f>SUM(L18:M18)</f>
        <v>0.22450532724505326</v>
      </c>
      <c r="O18" s="545"/>
    </row>
    <row r="19" spans="1:15">
      <c r="A19" s="227" t="s">
        <v>570</v>
      </c>
      <c r="B19" s="227" t="s">
        <v>312</v>
      </c>
      <c r="C19" s="228">
        <v>0.85</v>
      </c>
      <c r="D19" s="229">
        <v>40</v>
      </c>
      <c r="E19" s="230">
        <v>21.3</v>
      </c>
      <c r="F19" s="464">
        <v>7.8</v>
      </c>
      <c r="G19" s="230">
        <v>0</v>
      </c>
      <c r="H19" s="412">
        <f>E19/D19</f>
        <v>0.53249999999999997</v>
      </c>
      <c r="I19" s="532">
        <f>F19+G19*8760/1000*C19</f>
        <v>7.8</v>
      </c>
      <c r="J19" s="428">
        <f>H19/C19</f>
        <v>0.62647058823529411</v>
      </c>
      <c r="K19" s="532">
        <f>I19/C19</f>
        <v>9.1764705882352935</v>
      </c>
      <c r="L19" s="428">
        <f t="shared" si="4"/>
        <v>7.1514907332796127E-2</v>
      </c>
      <c r="M19" s="532">
        <f t="shared" si="4"/>
        <v>1.0475423045930701</v>
      </c>
      <c r="N19" s="421">
        <f>SUM(L19:M19)</f>
        <v>1.1190572119258662</v>
      </c>
      <c r="O19" s="546">
        <f>AVERAGE(N19:N20)</f>
        <v>0.71885911899006172</v>
      </c>
    </row>
    <row r="20" spans="1:15" ht="13" thickBot="1">
      <c r="A20" s="451" t="s">
        <v>571</v>
      </c>
      <c r="B20" s="451" t="s">
        <v>563</v>
      </c>
      <c r="C20" s="452">
        <v>0.85</v>
      </c>
      <c r="D20" s="453">
        <v>40</v>
      </c>
      <c r="E20" s="438">
        <v>3.71</v>
      </c>
      <c r="F20" s="450">
        <v>2.2799999999999998</v>
      </c>
      <c r="G20" s="438">
        <v>0</v>
      </c>
      <c r="H20" s="454">
        <f t="shared" si="0"/>
        <v>9.2749999999999999E-2</v>
      </c>
      <c r="I20" s="439">
        <f t="shared" si="1"/>
        <v>2.2799999999999998</v>
      </c>
      <c r="J20" s="441">
        <f t="shared" si="2"/>
        <v>0.10911764705882353</v>
      </c>
      <c r="K20" s="439">
        <f t="shared" si="3"/>
        <v>2.6823529411764704</v>
      </c>
      <c r="L20" s="441">
        <f t="shared" si="4"/>
        <v>1.2456352403975288E-2</v>
      </c>
      <c r="M20" s="439">
        <f t="shared" si="4"/>
        <v>0.30620467365028203</v>
      </c>
      <c r="N20" s="442">
        <f t="shared" si="5"/>
        <v>0.31866102605425733</v>
      </c>
      <c r="O20" s="545"/>
    </row>
    <row r="21" spans="1:15" ht="13" thickBot="1">
      <c r="A21" s="231" t="s">
        <v>572</v>
      </c>
      <c r="B21" s="231" t="s">
        <v>563</v>
      </c>
      <c r="C21" s="232">
        <v>0.55000000000000004</v>
      </c>
      <c r="D21" s="233">
        <v>40</v>
      </c>
      <c r="E21" s="234">
        <v>5.71</v>
      </c>
      <c r="F21" s="462">
        <v>1.1399999999999999</v>
      </c>
      <c r="G21" s="234">
        <v>0</v>
      </c>
      <c r="H21" s="413">
        <f t="shared" si="0"/>
        <v>0.14274999999999999</v>
      </c>
      <c r="I21" s="235">
        <f t="shared" si="1"/>
        <v>1.1399999999999999</v>
      </c>
      <c r="J21" s="430">
        <f t="shared" si="2"/>
        <v>0.25954545454545452</v>
      </c>
      <c r="K21" s="235">
        <f t="shared" si="3"/>
        <v>2.0727272727272723</v>
      </c>
      <c r="L21" s="430">
        <f t="shared" si="4"/>
        <v>2.9628476546284761E-2</v>
      </c>
      <c r="M21" s="235">
        <f t="shared" si="4"/>
        <v>0.236612702366127</v>
      </c>
      <c r="N21" s="422">
        <f t="shared" si="5"/>
        <v>0.26624117891241178</v>
      </c>
      <c r="O21" s="235">
        <f>N21</f>
        <v>0.26624117891241178</v>
      </c>
    </row>
    <row r="22" spans="1:15">
      <c r="A22" s="236" t="s">
        <v>309</v>
      </c>
      <c r="B22" s="236" t="s">
        <v>573</v>
      </c>
      <c r="C22" s="237">
        <v>0.2</v>
      </c>
      <c r="D22" s="238">
        <v>25</v>
      </c>
      <c r="E22" s="239">
        <v>37</v>
      </c>
      <c r="F22" s="468">
        <v>1</v>
      </c>
      <c r="G22" s="239">
        <v>0</v>
      </c>
      <c r="H22" s="424">
        <f>E22/D22</f>
        <v>1.48</v>
      </c>
      <c r="I22" s="534">
        <f>F22+G22*8760/1000*C22</f>
        <v>1</v>
      </c>
      <c r="J22" s="431">
        <f>H22/C22</f>
        <v>7.3999999999999995</v>
      </c>
      <c r="K22" s="534">
        <f>I22/C22</f>
        <v>5</v>
      </c>
      <c r="L22" s="431">
        <f>J22/8760*1000</f>
        <v>0.84474885844748848</v>
      </c>
      <c r="M22" s="534">
        <f>K22/8760*1000</f>
        <v>0.57077625570776247</v>
      </c>
      <c r="N22" s="426">
        <f>SUM(L22:M22)</f>
        <v>1.415525114155251</v>
      </c>
      <c r="O22" s="566">
        <f>N39</f>
        <v>0.79313246811604099</v>
      </c>
    </row>
    <row r="23" spans="1:15">
      <c r="A23" s="455" t="s">
        <v>310</v>
      </c>
      <c r="B23" s="455" t="s">
        <v>221</v>
      </c>
      <c r="C23" s="456">
        <v>0.2</v>
      </c>
      <c r="D23" s="457">
        <v>25</v>
      </c>
      <c r="E23" s="458">
        <v>32.340000000000003</v>
      </c>
      <c r="F23" s="467">
        <v>0.37</v>
      </c>
      <c r="G23" s="458">
        <v>0</v>
      </c>
      <c r="H23" s="459">
        <f t="shared" si="0"/>
        <v>1.2936000000000001</v>
      </c>
      <c r="I23" s="528">
        <f t="shared" si="1"/>
        <v>0.37</v>
      </c>
      <c r="J23" s="460">
        <f t="shared" si="2"/>
        <v>6.468</v>
      </c>
      <c r="K23" s="528">
        <f t="shared" si="3"/>
        <v>1.8499999999999999</v>
      </c>
      <c r="L23" s="460">
        <f t="shared" si="4"/>
        <v>0.73835616438356166</v>
      </c>
      <c r="M23" s="528">
        <f t="shared" si="4"/>
        <v>0.21118721461187212</v>
      </c>
      <c r="N23" s="461">
        <f t="shared" si="5"/>
        <v>0.94954337899543373</v>
      </c>
      <c r="O23" s="567"/>
    </row>
    <row r="24" spans="1:15" ht="13" thickBot="1">
      <c r="A24" s="451" t="s">
        <v>311</v>
      </c>
      <c r="B24" s="451" t="s">
        <v>563</v>
      </c>
      <c r="C24" s="452">
        <v>0.2</v>
      </c>
      <c r="D24" s="451">
        <v>25</v>
      </c>
      <c r="E24" s="438">
        <v>7.14</v>
      </c>
      <c r="F24" s="450">
        <v>0.12</v>
      </c>
      <c r="G24" s="465">
        <v>0</v>
      </c>
      <c r="H24" s="454">
        <f t="shared" si="0"/>
        <v>0.28559999999999997</v>
      </c>
      <c r="I24" s="438">
        <f t="shared" si="1"/>
        <v>0.12</v>
      </c>
      <c r="J24" s="450">
        <f t="shared" si="2"/>
        <v>1.4279999999999997</v>
      </c>
      <c r="K24" s="438">
        <f t="shared" si="3"/>
        <v>0.6</v>
      </c>
      <c r="L24" s="450">
        <f t="shared" si="4"/>
        <v>0.16301369863013696</v>
      </c>
      <c r="M24" s="438">
        <f t="shared" si="4"/>
        <v>6.8493150684931503E-2</v>
      </c>
      <c r="N24" s="466">
        <f t="shared" si="5"/>
        <v>0.23150684931506846</v>
      </c>
      <c r="O24" s="568"/>
    </row>
    <row r="25" spans="1:15">
      <c r="A25" s="227" t="s">
        <v>434</v>
      </c>
      <c r="B25" s="227" t="s">
        <v>438</v>
      </c>
      <c r="C25" s="240">
        <v>0.4</v>
      </c>
      <c r="D25" s="229">
        <v>25</v>
      </c>
      <c r="E25" s="230">
        <f>10310/1000</f>
        <v>10.31</v>
      </c>
      <c r="F25" s="464">
        <v>1</v>
      </c>
      <c r="G25" s="230">
        <v>0</v>
      </c>
      <c r="H25" s="424">
        <f t="shared" si="0"/>
        <v>0.41240000000000004</v>
      </c>
      <c r="I25" s="534">
        <f t="shared" si="1"/>
        <v>1</v>
      </c>
      <c r="J25" s="431">
        <f t="shared" si="2"/>
        <v>1.0310000000000001</v>
      </c>
      <c r="K25" s="534">
        <f t="shared" si="3"/>
        <v>2.5</v>
      </c>
      <c r="L25" s="431">
        <f t="shared" si="4"/>
        <v>0.11769406392694066</v>
      </c>
      <c r="M25" s="534">
        <f t="shared" si="4"/>
        <v>0.28538812785388123</v>
      </c>
      <c r="N25" s="426">
        <f t="shared" si="5"/>
        <v>0.40308219178082189</v>
      </c>
      <c r="O25" s="546">
        <f>AVERAGE(N25:N26,N27)</f>
        <v>0.23028919330289191</v>
      </c>
    </row>
    <row r="26" spans="1:15">
      <c r="A26" s="214" t="s">
        <v>435</v>
      </c>
      <c r="B26" s="214" t="s">
        <v>437</v>
      </c>
      <c r="C26" s="220">
        <v>0.4</v>
      </c>
      <c r="D26" s="215">
        <v>25</v>
      </c>
      <c r="E26" s="216">
        <v>4.5</v>
      </c>
      <c r="F26" s="530">
        <v>0.38</v>
      </c>
      <c r="G26" s="533">
        <v>0</v>
      </c>
      <c r="H26" s="415">
        <f t="shared" si="0"/>
        <v>0.18</v>
      </c>
      <c r="I26" s="533">
        <f t="shared" si="1"/>
        <v>0.38</v>
      </c>
      <c r="J26" s="429">
        <f t="shared" si="2"/>
        <v>0.44999999999999996</v>
      </c>
      <c r="K26" s="533">
        <f t="shared" si="3"/>
        <v>0.95</v>
      </c>
      <c r="L26" s="429">
        <f t="shared" si="4"/>
        <v>5.1369863013698627E-2</v>
      </c>
      <c r="M26" s="533">
        <f t="shared" si="4"/>
        <v>0.10844748858447488</v>
      </c>
      <c r="N26" s="420">
        <f t="shared" si="5"/>
        <v>0.15981735159817351</v>
      </c>
      <c r="O26" s="547"/>
    </row>
    <row r="27" spans="1:15" ht="13" thickBot="1">
      <c r="A27" s="436" t="s">
        <v>436</v>
      </c>
      <c r="B27" s="436" t="s">
        <v>563</v>
      </c>
      <c r="C27" s="463">
        <v>0.4</v>
      </c>
      <c r="D27" s="436">
        <v>25</v>
      </c>
      <c r="E27" s="439">
        <v>5.71</v>
      </c>
      <c r="F27" s="441">
        <v>0.22</v>
      </c>
      <c r="G27" s="465">
        <v>0</v>
      </c>
      <c r="H27" s="440">
        <f t="shared" si="0"/>
        <v>0.22839999999999999</v>
      </c>
      <c r="I27" s="439">
        <f t="shared" si="1"/>
        <v>0.22</v>
      </c>
      <c r="J27" s="441">
        <f t="shared" si="2"/>
        <v>0.57099999999999995</v>
      </c>
      <c r="K27" s="439">
        <f t="shared" si="3"/>
        <v>0.54999999999999993</v>
      </c>
      <c r="L27" s="441">
        <f t="shared" si="4"/>
        <v>6.5182648401826485E-2</v>
      </c>
      <c r="M27" s="439">
        <f t="shared" si="4"/>
        <v>6.2785388127853878E-2</v>
      </c>
      <c r="N27" s="442">
        <f t="shared" si="5"/>
        <v>0.12796803652968036</v>
      </c>
      <c r="O27" s="545"/>
    </row>
    <row r="28" spans="1:15">
      <c r="A28" s="241" t="s">
        <v>574</v>
      </c>
      <c r="B28" s="241" t="s">
        <v>362</v>
      </c>
      <c r="C28" s="240">
        <v>0.35</v>
      </c>
      <c r="D28" s="229">
        <v>25</v>
      </c>
      <c r="E28" s="230">
        <v>10.1</v>
      </c>
      <c r="F28" s="464">
        <v>0.4</v>
      </c>
      <c r="G28" s="532">
        <v>0</v>
      </c>
      <c r="H28" s="425">
        <f t="shared" si="0"/>
        <v>0.40399999999999997</v>
      </c>
      <c r="I28" s="532">
        <f t="shared" si="1"/>
        <v>0.4</v>
      </c>
      <c r="J28" s="428">
        <f t="shared" si="2"/>
        <v>1.1542857142857144</v>
      </c>
      <c r="K28" s="532">
        <f t="shared" si="3"/>
        <v>1.142857142857143</v>
      </c>
      <c r="L28" s="428">
        <f t="shared" si="4"/>
        <v>0.13176777560339206</v>
      </c>
      <c r="M28" s="532">
        <f t="shared" si="4"/>
        <v>0.13046314416177432</v>
      </c>
      <c r="N28" s="421">
        <f t="shared" si="5"/>
        <v>0.26223091976516638</v>
      </c>
      <c r="O28" s="546">
        <f>AVERAGE(N28,N29,N30:N32)</f>
        <v>0.16974559686888452</v>
      </c>
    </row>
    <row r="29" spans="1:15">
      <c r="A29" s="214" t="s">
        <v>220</v>
      </c>
      <c r="B29" s="214" t="s">
        <v>221</v>
      </c>
      <c r="C29" s="220">
        <v>0.35</v>
      </c>
      <c r="D29" s="219">
        <v>25</v>
      </c>
      <c r="E29" s="216">
        <v>3.8</v>
      </c>
      <c r="F29" s="530">
        <v>0.14399999999999999</v>
      </c>
      <c r="G29" s="533">
        <v>0</v>
      </c>
      <c r="H29" s="415">
        <f t="shared" si="0"/>
        <v>0.152</v>
      </c>
      <c r="I29" s="533">
        <f t="shared" si="1"/>
        <v>0.14399999999999999</v>
      </c>
      <c r="J29" s="429">
        <f t="shared" si="2"/>
        <v>0.43428571428571427</v>
      </c>
      <c r="K29" s="533">
        <f t="shared" si="3"/>
        <v>0.41142857142857142</v>
      </c>
      <c r="L29" s="429">
        <f t="shared" si="4"/>
        <v>4.9575994781474238E-2</v>
      </c>
      <c r="M29" s="533">
        <f t="shared" si="4"/>
        <v>4.6966731898238752E-2</v>
      </c>
      <c r="N29" s="420">
        <f t="shared" si="5"/>
        <v>9.654272667971299E-2</v>
      </c>
      <c r="O29" s="547"/>
    </row>
    <row r="30" spans="1:15">
      <c r="A30" s="214" t="s">
        <v>361</v>
      </c>
      <c r="B30" s="214" t="s">
        <v>575</v>
      </c>
      <c r="C30" s="220">
        <v>0.35</v>
      </c>
      <c r="D30" s="215">
        <v>25</v>
      </c>
      <c r="E30" s="533">
        <v>10.96</v>
      </c>
      <c r="F30" s="429">
        <v>0.17499999999999999</v>
      </c>
      <c r="G30" s="533">
        <v>0</v>
      </c>
      <c r="H30" s="415">
        <f t="shared" si="0"/>
        <v>0.43840000000000001</v>
      </c>
      <c r="I30" s="533">
        <f t="shared" si="1"/>
        <v>0.17499999999999999</v>
      </c>
      <c r="J30" s="429">
        <f t="shared" si="2"/>
        <v>1.2525714285714287</v>
      </c>
      <c r="K30" s="533">
        <f t="shared" si="3"/>
        <v>0.5</v>
      </c>
      <c r="L30" s="429">
        <f t="shared" si="4"/>
        <v>0.14298760600130464</v>
      </c>
      <c r="M30" s="533">
        <f t="shared" si="4"/>
        <v>5.7077625570776253E-2</v>
      </c>
      <c r="N30" s="420">
        <f t="shared" si="5"/>
        <v>0.20006523157208089</v>
      </c>
      <c r="O30" s="547"/>
    </row>
    <row r="31" spans="1:15">
      <c r="A31" s="214" t="s">
        <v>576</v>
      </c>
      <c r="B31" s="214" t="s">
        <v>312</v>
      </c>
      <c r="C31" s="220">
        <v>0.35</v>
      </c>
      <c r="D31" s="215">
        <v>25</v>
      </c>
      <c r="E31" s="533">
        <v>7.4</v>
      </c>
      <c r="F31" s="429">
        <v>0.2</v>
      </c>
      <c r="G31" s="533">
        <v>0</v>
      </c>
      <c r="H31" s="415">
        <f t="shared" si="0"/>
        <v>0.29600000000000004</v>
      </c>
      <c r="I31" s="533">
        <f t="shared" si="1"/>
        <v>0.2</v>
      </c>
      <c r="J31" s="429">
        <f t="shared" si="2"/>
        <v>0.84571428571428586</v>
      </c>
      <c r="K31" s="533">
        <f t="shared" si="3"/>
        <v>0.57142857142857151</v>
      </c>
      <c r="L31" s="429">
        <f t="shared" si="4"/>
        <v>9.6542726679713003E-2</v>
      </c>
      <c r="M31" s="533">
        <f t="shared" si="4"/>
        <v>6.523157208088716E-2</v>
      </c>
      <c r="N31" s="420">
        <f t="shared" si="5"/>
        <v>0.16177429876060018</v>
      </c>
      <c r="O31" s="547"/>
    </row>
    <row r="32" spans="1:15" ht="13" thickBot="1">
      <c r="A32" s="436" t="s">
        <v>577</v>
      </c>
      <c r="B32" s="436" t="s">
        <v>563</v>
      </c>
      <c r="C32" s="463">
        <v>0.35</v>
      </c>
      <c r="D32" s="437">
        <v>25</v>
      </c>
      <c r="E32" s="439">
        <v>2.57</v>
      </c>
      <c r="F32" s="441">
        <v>0.28999999999999998</v>
      </c>
      <c r="G32" s="439">
        <v>0</v>
      </c>
      <c r="H32" s="440">
        <f t="shared" si="0"/>
        <v>0.10279999999999999</v>
      </c>
      <c r="I32" s="439">
        <f t="shared" si="1"/>
        <v>0.28999999999999998</v>
      </c>
      <c r="J32" s="441">
        <f t="shared" si="2"/>
        <v>0.29371428571428571</v>
      </c>
      <c r="K32" s="439">
        <f t="shared" si="3"/>
        <v>0.82857142857142851</v>
      </c>
      <c r="L32" s="441">
        <f>J32/8760*1000</f>
        <v>3.3529028049575992E-2</v>
      </c>
      <c r="M32" s="439">
        <f>K32/8760*1000</f>
        <v>9.4585779517286361E-2</v>
      </c>
      <c r="N32" s="442">
        <f t="shared" si="5"/>
        <v>0.12811480756686236</v>
      </c>
      <c r="O32" s="545"/>
    </row>
    <row r="33" spans="1:15" ht="23" thickBot="1">
      <c r="A33" s="231" t="s">
        <v>431</v>
      </c>
      <c r="B33" s="231" t="s">
        <v>432</v>
      </c>
      <c r="C33" s="232">
        <v>0.8</v>
      </c>
      <c r="D33" s="233">
        <v>40</v>
      </c>
      <c r="E33" s="234">
        <v>20.48</v>
      </c>
      <c r="F33" s="462">
        <v>0.31</v>
      </c>
      <c r="G33" s="234">
        <v>0.06</v>
      </c>
      <c r="H33" s="413">
        <v>0.51200000000000001</v>
      </c>
      <c r="I33" s="235">
        <v>0.73048000000000002</v>
      </c>
      <c r="J33" s="430">
        <v>0.64</v>
      </c>
      <c r="K33" s="235">
        <v>0.91310000000000002</v>
      </c>
      <c r="L33" s="430">
        <v>7.3059360730593603E-2</v>
      </c>
      <c r="M33" s="235">
        <v>0.10423515981735161</v>
      </c>
      <c r="N33" s="422">
        <v>0.1772945205479452</v>
      </c>
      <c r="O33" s="235">
        <f>N33</f>
        <v>0.1772945205479452</v>
      </c>
    </row>
    <row r="34" spans="1:15" ht="13" thickBot="1">
      <c r="A34" s="231" t="s">
        <v>225</v>
      </c>
      <c r="B34" s="231" t="s">
        <v>433</v>
      </c>
      <c r="C34" s="232">
        <v>0.9</v>
      </c>
      <c r="D34" s="233">
        <v>40</v>
      </c>
      <c r="E34" s="234">
        <v>15.2</v>
      </c>
      <c r="F34" s="462">
        <v>0.7</v>
      </c>
      <c r="G34" s="234">
        <v>0</v>
      </c>
      <c r="H34" s="416">
        <f>E34/D34</f>
        <v>0.38</v>
      </c>
      <c r="I34" s="235">
        <f>F34+G34*8760/1000*C34</f>
        <v>0.7</v>
      </c>
      <c r="J34" s="430">
        <f>H34/C34</f>
        <v>0.42222222222222222</v>
      </c>
      <c r="K34" s="235">
        <f>I34/C34</f>
        <v>0.77777777777777768</v>
      </c>
      <c r="L34" s="430">
        <f t="shared" ref="L34:M36" si="6">J34/8760*1000</f>
        <v>4.8198883815322169E-2</v>
      </c>
      <c r="M34" s="235">
        <f t="shared" si="6"/>
        <v>8.8787417554540837E-2</v>
      </c>
      <c r="N34" s="422">
        <f>SUM(L34:M34)</f>
        <v>0.13698630136986301</v>
      </c>
      <c r="O34" s="235">
        <f>N34</f>
        <v>0.13698630136986301</v>
      </c>
    </row>
    <row r="35" spans="1:15" ht="13" thickBot="1">
      <c r="A35" s="242" t="s">
        <v>142</v>
      </c>
      <c r="B35" s="242" t="s">
        <v>223</v>
      </c>
      <c r="C35" s="243">
        <v>0.8</v>
      </c>
      <c r="D35" s="244">
        <v>40</v>
      </c>
      <c r="E35" s="235">
        <v>8.5</v>
      </c>
      <c r="F35" s="430">
        <v>0.18</v>
      </c>
      <c r="G35" s="235">
        <v>5.8999999999999997E-2</v>
      </c>
      <c r="H35" s="416">
        <f>E35/D35</f>
        <v>0.21249999999999999</v>
      </c>
      <c r="I35" s="235">
        <v>0.59</v>
      </c>
      <c r="J35" s="430">
        <f>H35/C35</f>
        <v>0.265625</v>
      </c>
      <c r="K35" s="235">
        <f>I35/C35</f>
        <v>0.73749999999999993</v>
      </c>
      <c r="L35" s="430">
        <f t="shared" si="6"/>
        <v>3.0322488584474887E-2</v>
      </c>
      <c r="M35" s="235">
        <f t="shared" si="6"/>
        <v>8.4189497716894962E-2</v>
      </c>
      <c r="N35" s="422">
        <f>SUM(L35:M35)</f>
        <v>0.11451198630136986</v>
      </c>
      <c r="O35" s="235">
        <f>N35</f>
        <v>0.11451198630136986</v>
      </c>
    </row>
    <row r="36" spans="1:15" ht="13" thickBot="1">
      <c r="A36" s="242" t="s">
        <v>222</v>
      </c>
      <c r="B36" s="242" t="s">
        <v>312</v>
      </c>
      <c r="C36" s="243">
        <v>0.85</v>
      </c>
      <c r="D36" s="244">
        <v>40</v>
      </c>
      <c r="E36" s="235">
        <v>1.02</v>
      </c>
      <c r="F36" s="430">
        <v>0.1</v>
      </c>
      <c r="G36" s="235">
        <v>0.09</v>
      </c>
      <c r="H36" s="416">
        <f>E36/D36</f>
        <v>2.5500000000000002E-2</v>
      </c>
      <c r="I36" s="235">
        <f>F36+G36*8760/1000*C36</f>
        <v>0.77013999999999994</v>
      </c>
      <c r="J36" s="430">
        <f>H36/C36</f>
        <v>3.0000000000000002E-2</v>
      </c>
      <c r="K36" s="235">
        <f>I36/C36</f>
        <v>0.90604705882352932</v>
      </c>
      <c r="L36" s="430">
        <f t="shared" si="6"/>
        <v>3.4246575342465756E-3</v>
      </c>
      <c r="M36" s="235">
        <f t="shared" si="6"/>
        <v>0.10343002954606499</v>
      </c>
      <c r="N36" s="422">
        <f>SUM(L36:M36)</f>
        <v>0.10685468708031157</v>
      </c>
      <c r="O36" s="235">
        <f>N36</f>
        <v>0.10685468708031157</v>
      </c>
    </row>
    <row r="37" spans="1:15">
      <c r="A37" s="213" t="s">
        <v>427</v>
      </c>
      <c r="B37" s="213" t="s">
        <v>429</v>
      </c>
      <c r="C37" s="245">
        <v>1</v>
      </c>
      <c r="D37" s="222">
        <v>20</v>
      </c>
      <c r="E37" s="536" t="s">
        <v>0</v>
      </c>
      <c r="F37" s="537"/>
      <c r="G37" s="537"/>
      <c r="H37" s="537"/>
      <c r="I37" s="537"/>
      <c r="J37" s="537"/>
      <c r="K37" s="537"/>
      <c r="L37" s="537"/>
      <c r="M37" s="538"/>
      <c r="N37" s="418">
        <v>0.17</v>
      </c>
      <c r="O37" s="539">
        <f>AVERAGE(N37,N38)</f>
        <v>0.38</v>
      </c>
    </row>
    <row r="38" spans="1:15">
      <c r="A38" s="214" t="s">
        <v>428</v>
      </c>
      <c r="B38" s="214" t="s">
        <v>430</v>
      </c>
      <c r="C38" s="221">
        <v>1</v>
      </c>
      <c r="D38" s="215">
        <v>20</v>
      </c>
      <c r="E38" s="541" t="s">
        <v>0</v>
      </c>
      <c r="F38" s="542"/>
      <c r="G38" s="542"/>
      <c r="H38" s="542"/>
      <c r="I38" s="542"/>
      <c r="J38" s="542"/>
      <c r="K38" s="542"/>
      <c r="L38" s="542"/>
      <c r="M38" s="543"/>
      <c r="N38" s="420">
        <v>0.59</v>
      </c>
      <c r="O38" s="540"/>
    </row>
    <row r="39" spans="1:15">
      <c r="A39" s="81" t="s">
        <v>758</v>
      </c>
      <c r="B39" s="81" t="s">
        <v>759</v>
      </c>
      <c r="C39" s="569">
        <v>0.2</v>
      </c>
      <c r="D39" s="81">
        <v>25</v>
      </c>
      <c r="E39" s="417">
        <f>(97031+32490+15112+20185)/B40</f>
        <v>14.698366579021558</v>
      </c>
      <c r="F39" s="417">
        <f>(8989)/B40</f>
        <v>0.80163342097844159</v>
      </c>
      <c r="G39" s="81">
        <v>0</v>
      </c>
      <c r="H39" s="417">
        <f>E39/D39</f>
        <v>0.58793466316086229</v>
      </c>
      <c r="I39" s="417">
        <f>F39</f>
        <v>0.80163342097844159</v>
      </c>
      <c r="J39" s="417">
        <f>H39/C39</f>
        <v>2.9396733158043111</v>
      </c>
      <c r="K39" s="417">
        <f>I39/C39</f>
        <v>4.0081671048922081</v>
      </c>
      <c r="L39" s="417">
        <f>J39/8760*1000</f>
        <v>0.33557914563976154</v>
      </c>
      <c r="M39" s="417">
        <f>K39/8760*1000</f>
        <v>0.4575533224762795</v>
      </c>
      <c r="N39" s="81">
        <f>L39+M39</f>
        <v>0.79313246811604099</v>
      </c>
    </row>
    <row r="40" spans="1:15">
      <c r="B40" s="81">
        <f>173807/15.5</f>
        <v>11213.354838709678</v>
      </c>
    </row>
    <row r="41" spans="1:15">
      <c r="N41" s="570"/>
    </row>
  </sheetData>
  <mergeCells count="19">
    <mergeCell ref="A1:P10"/>
    <mergeCell ref="A11:A12"/>
    <mergeCell ref="B11:B12"/>
    <mergeCell ref="C11:C13"/>
    <mergeCell ref="D11:D13"/>
    <mergeCell ref="E11:G12"/>
    <mergeCell ref="H11:O11"/>
    <mergeCell ref="H12:I12"/>
    <mergeCell ref="J12:K12"/>
    <mergeCell ref="L12:O12"/>
    <mergeCell ref="E37:M37"/>
    <mergeCell ref="O37:O38"/>
    <mergeCell ref="E38:M38"/>
    <mergeCell ref="O14:O15"/>
    <mergeCell ref="O16:O18"/>
    <mergeCell ref="O19:O20"/>
    <mergeCell ref="O22:O24"/>
    <mergeCell ref="O25:O27"/>
    <mergeCell ref="O28:O3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63"/>
      <c r="C1" s="563"/>
      <c r="D1" s="563"/>
      <c r="E1" s="563"/>
      <c r="F1" s="563"/>
      <c r="G1" s="563"/>
      <c r="H1" s="563"/>
      <c r="I1" s="563"/>
      <c r="J1" s="563"/>
      <c r="K1" s="563"/>
      <c r="L1" s="563"/>
    </row>
    <row r="2" spans="1:12">
      <c r="B2" s="563"/>
      <c r="C2" s="563"/>
      <c r="D2" s="563"/>
      <c r="E2" s="563"/>
      <c r="F2" s="563"/>
      <c r="G2" s="563"/>
      <c r="H2" s="563"/>
      <c r="I2" s="563"/>
      <c r="J2" s="563"/>
      <c r="K2" s="563"/>
      <c r="L2" s="563"/>
    </row>
    <row r="3" spans="1:12">
      <c r="B3" s="563"/>
      <c r="C3" s="563"/>
      <c r="D3" s="563"/>
      <c r="E3" s="563"/>
      <c r="F3" s="563"/>
      <c r="G3" s="563"/>
      <c r="H3" s="563"/>
      <c r="I3" s="563"/>
      <c r="J3" s="563"/>
      <c r="K3" s="563"/>
      <c r="L3" s="563"/>
    </row>
    <row r="4" spans="1:12">
      <c r="B4" s="563"/>
      <c r="C4" s="563"/>
      <c r="D4" s="563"/>
      <c r="E4" s="563"/>
      <c r="F4" s="563"/>
      <c r="G4" s="563"/>
      <c r="H4" s="563"/>
      <c r="I4" s="563"/>
      <c r="J4" s="563"/>
      <c r="K4" s="563"/>
      <c r="L4" s="563"/>
    </row>
    <row r="5" spans="1:12">
      <c r="B5" s="563"/>
      <c r="C5" s="563"/>
      <c r="D5" s="563"/>
      <c r="E5" s="563"/>
      <c r="F5" s="563"/>
      <c r="G5" s="563"/>
      <c r="H5" s="563"/>
      <c r="I5" s="563"/>
      <c r="J5" s="563"/>
      <c r="K5" s="563"/>
      <c r="L5" s="563"/>
    </row>
    <row r="6" spans="1:12">
      <c r="B6" s="563"/>
      <c r="C6" s="563"/>
      <c r="D6" s="563"/>
      <c r="E6" s="563"/>
      <c r="F6" s="563"/>
      <c r="G6" s="563"/>
      <c r="H6" s="563"/>
      <c r="I6" s="563"/>
      <c r="J6" s="563"/>
      <c r="K6" s="563"/>
      <c r="L6" s="563"/>
    </row>
    <row r="7" spans="1:12">
      <c r="B7" s="563"/>
      <c r="C7" s="563"/>
      <c r="D7" s="563"/>
      <c r="E7" s="563"/>
      <c r="F7" s="563"/>
      <c r="G7" s="563"/>
      <c r="H7" s="563"/>
      <c r="I7" s="563"/>
      <c r="J7" s="563"/>
      <c r="K7" s="563"/>
      <c r="L7" s="563"/>
    </row>
    <row r="8" spans="1:12">
      <c r="B8" s="563"/>
      <c r="C8" s="563"/>
      <c r="D8" s="563"/>
      <c r="E8" s="563"/>
      <c r="F8" s="563"/>
      <c r="G8" s="563"/>
      <c r="H8" s="563"/>
      <c r="I8" s="563"/>
      <c r="J8" s="563"/>
      <c r="K8" s="563"/>
      <c r="L8" s="563"/>
    </row>
    <row r="9" spans="1:12" ht="48" customHeight="1">
      <c r="B9" s="563"/>
      <c r="C9" s="563"/>
      <c r="D9" s="563"/>
      <c r="E9" s="563"/>
      <c r="F9" s="563"/>
      <c r="G9" s="563"/>
      <c r="H9" s="563"/>
      <c r="I9" s="563"/>
      <c r="J9" s="563"/>
      <c r="K9" s="563"/>
      <c r="L9" s="563"/>
    </row>
    <row r="10" spans="1:12" s="144" customFormat="1" ht="15" thickBot="1">
      <c r="A10" s="139" t="s">
        <v>149</v>
      </c>
      <c r="B10" s="140" t="s">
        <v>460</v>
      </c>
      <c r="C10" s="141" t="s">
        <v>144</v>
      </c>
      <c r="D10" s="141" t="s">
        <v>461</v>
      </c>
      <c r="E10" s="141" t="s">
        <v>265</v>
      </c>
      <c r="F10" s="141" t="s">
        <v>461</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553</v>
      </c>
      <c r="I11" s="147" t="s">
        <v>462</v>
      </c>
      <c r="J11" s="145" t="s">
        <v>463</v>
      </c>
    </row>
    <row r="12" spans="1:12" s="145" customFormat="1" ht="28">
      <c r="B12" s="148">
        <f>B11+1</f>
        <v>2</v>
      </c>
      <c r="C12" s="149">
        <v>2009</v>
      </c>
      <c r="D12" s="149" t="s">
        <v>464</v>
      </c>
      <c r="E12" s="149" t="s">
        <v>465</v>
      </c>
      <c r="F12" s="147" t="str">
        <f t="shared" ref="F12:F26" si="0">D12 &amp; " - " &amp; E12</f>
        <v>Julio Friedmann - Lawrence Livermore National Laboratory</v>
      </c>
      <c r="G12" s="149" t="s">
        <v>466</v>
      </c>
      <c r="H12" s="149" t="s">
        <v>467</v>
      </c>
      <c r="I12" s="149" t="s">
        <v>468</v>
      </c>
    </row>
    <row r="13" spans="1:12" s="145" customFormat="1" ht="28">
      <c r="B13" s="148">
        <f>B12+1</f>
        <v>3</v>
      </c>
      <c r="C13" s="149">
        <v>2009</v>
      </c>
      <c r="D13" s="149" t="s">
        <v>469</v>
      </c>
      <c r="E13" s="149" t="s">
        <v>470</v>
      </c>
      <c r="F13" s="147" t="str">
        <f t="shared" si="0"/>
        <v>José Goldemberg  - State of São Paulo, Brazil</v>
      </c>
      <c r="G13" s="149" t="s">
        <v>471</v>
      </c>
      <c r="H13" s="149"/>
      <c r="I13" s="149"/>
    </row>
    <row r="14" spans="1:12" s="145" customFormat="1" ht="42">
      <c r="B14" s="150">
        <f>B13+1</f>
        <v>4</v>
      </c>
      <c r="C14" s="151">
        <v>2009</v>
      </c>
      <c r="D14" s="151" t="s">
        <v>472</v>
      </c>
      <c r="E14" s="151" t="s">
        <v>473</v>
      </c>
      <c r="F14" s="147" t="str">
        <f t="shared" si="0"/>
        <v xml:space="preserve">SkyFuels - National Renewable Energy Laboratory </v>
      </c>
      <c r="G14" s="151" t="s">
        <v>474</v>
      </c>
      <c r="H14" s="151" t="s">
        <v>475</v>
      </c>
      <c r="I14" s="151" t="s">
        <v>476</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477</v>
      </c>
      <c r="J15" s="145" t="s">
        <v>478</v>
      </c>
    </row>
    <row r="16" spans="1:12" s="152" customFormat="1" ht="42">
      <c r="A16" s="149"/>
      <c r="B16" s="148">
        <f>B15+1</f>
        <v>6</v>
      </c>
      <c r="C16" s="149">
        <v>2008</v>
      </c>
      <c r="D16" s="149" t="s">
        <v>479</v>
      </c>
      <c r="E16" s="149" t="s">
        <v>480</v>
      </c>
      <c r="F16" s="147" t="str">
        <f t="shared" si="0"/>
        <v>David Roland-Holst - University of California, Berkeley</v>
      </c>
      <c r="G16" s="149" t="s">
        <v>481</v>
      </c>
      <c r="H16" s="149" t="s">
        <v>482</v>
      </c>
      <c r="I16" s="149" t="s">
        <v>483</v>
      </c>
      <c r="J16" s="145"/>
    </row>
    <row r="17" spans="1:10" s="152" customFormat="1" ht="28">
      <c r="A17" s="149"/>
      <c r="B17" s="148">
        <v>7</v>
      </c>
      <c r="C17" s="149">
        <v>2007</v>
      </c>
      <c r="D17" s="149" t="s">
        <v>497</v>
      </c>
      <c r="E17" s="149" t="s">
        <v>0</v>
      </c>
      <c r="F17" s="147" t="str">
        <f>D17</f>
        <v>Vestas</v>
      </c>
      <c r="G17" s="149" t="s">
        <v>498</v>
      </c>
      <c r="H17" s="149" t="s">
        <v>499</v>
      </c>
      <c r="I17" s="149" t="s">
        <v>500</v>
      </c>
      <c r="J17" s="145"/>
    </row>
    <row r="18" spans="1:10" s="152" customFormat="1" ht="42">
      <c r="A18" s="149"/>
      <c r="B18" s="148">
        <v>8</v>
      </c>
      <c r="C18" s="149">
        <v>2006</v>
      </c>
      <c r="D18" s="149" t="s">
        <v>484</v>
      </c>
      <c r="E18" s="149" t="s">
        <v>485</v>
      </c>
      <c r="F18" s="147" t="str">
        <f t="shared" si="0"/>
        <v>Winfried Hoffman, Sven Teske - European Photovoltaic Industry Association (EPIA) and Greenpeace</v>
      </c>
      <c r="G18" s="149" t="s">
        <v>486</v>
      </c>
      <c r="H18" s="149" t="s">
        <v>487</v>
      </c>
      <c r="I18" s="149" t="s">
        <v>488</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533</v>
      </c>
      <c r="H19" s="149" t="s">
        <v>534</v>
      </c>
      <c r="I19" s="149"/>
      <c r="J19" s="145" t="s">
        <v>489</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490</v>
      </c>
      <c r="I20" s="149" t="s">
        <v>0</v>
      </c>
      <c r="J20" s="145" t="s">
        <v>325</v>
      </c>
    </row>
    <row r="21" spans="1:10" s="152" customFormat="1" ht="70">
      <c r="A21" s="149" t="s">
        <v>491</v>
      </c>
      <c r="B21" s="148">
        <v>11</v>
      </c>
      <c r="C21" s="149">
        <v>2006</v>
      </c>
      <c r="D21" s="149" t="s">
        <v>492</v>
      </c>
      <c r="E21" s="149" t="s">
        <v>493</v>
      </c>
      <c r="F21" s="147" t="str">
        <f t="shared" si="0"/>
        <v>L. Stoddard, J. Abiecunas, R. O'Connell - National Renewable Energy Laboratory</v>
      </c>
      <c r="G21" s="149" t="s">
        <v>494</v>
      </c>
      <c r="H21" s="149" t="s">
        <v>554</v>
      </c>
      <c r="I21" s="149" t="s">
        <v>495</v>
      </c>
      <c r="J21" s="145" t="s">
        <v>496</v>
      </c>
    </row>
    <row r="22" spans="1:10" s="152" customFormat="1" ht="42">
      <c r="A22" s="149" t="s">
        <v>501</v>
      </c>
      <c r="B22" s="148">
        <v>12</v>
      </c>
      <c r="C22" s="149">
        <v>2005</v>
      </c>
      <c r="D22" s="149" t="s">
        <v>502</v>
      </c>
      <c r="E22" s="149" t="s">
        <v>503</v>
      </c>
      <c r="F22" s="147" t="str">
        <f t="shared" si="0"/>
        <v>Doug Arent, John Tschirhart, Dick Watsson - Western Governors' Association: Geothermal Task Force</v>
      </c>
      <c r="G22" s="149" t="s">
        <v>504</v>
      </c>
      <c r="H22" s="149" t="s">
        <v>505</v>
      </c>
      <c r="I22" s="149"/>
      <c r="J22" s="145" t="s">
        <v>506</v>
      </c>
    </row>
    <row r="23" spans="1:10" s="152" customFormat="1" ht="70">
      <c r="A23" s="153"/>
      <c r="B23" s="148">
        <v>13</v>
      </c>
      <c r="C23" s="149">
        <v>2005</v>
      </c>
      <c r="D23" s="149" t="s">
        <v>507</v>
      </c>
      <c r="E23" s="149" t="s">
        <v>508</v>
      </c>
      <c r="F23" s="147" t="str">
        <f t="shared" si="0"/>
        <v>Jose Gil and Hugo Lucas - Institute for Diversification and Saving of Energy (Instituto para la Diversificacion y Ahorro de la Energia, IDAE)</v>
      </c>
      <c r="G23" s="149" t="s">
        <v>509</v>
      </c>
      <c r="H23" s="149" t="s">
        <v>532</v>
      </c>
      <c r="I23" s="149" t="s">
        <v>530</v>
      </c>
      <c r="J23" s="145" t="s">
        <v>531</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510</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511</v>
      </c>
      <c r="H25" s="149" t="s">
        <v>512</v>
      </c>
      <c r="I25" s="149" t="s">
        <v>513</v>
      </c>
      <c r="J25" s="145" t="s">
        <v>514</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515</v>
      </c>
      <c r="I26" s="149" t="s">
        <v>516</v>
      </c>
      <c r="J26" s="145" t="s">
        <v>318</v>
      </c>
    </row>
    <row r="27" spans="1:10" s="152" customFormat="1" ht="112">
      <c r="A27" s="149" t="s">
        <v>314</v>
      </c>
      <c r="B27" s="148">
        <f>B26+1</f>
        <v>17</v>
      </c>
      <c r="C27" s="149">
        <v>2001</v>
      </c>
      <c r="D27" s="149" t="s">
        <v>319</v>
      </c>
      <c r="E27" s="149" t="s">
        <v>320</v>
      </c>
      <c r="F27" s="149" t="s">
        <v>536</v>
      </c>
      <c r="G27" s="149" t="s">
        <v>321</v>
      </c>
      <c r="H27" s="149" t="s">
        <v>517</v>
      </c>
      <c r="I27" s="149" t="s">
        <v>518</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8" zoomScale="125" zoomScaleNormal="125" zoomScalePageLayoutView="125" workbookViewId="0">
      <pane xSplit="1" topLeftCell="B1" activePane="topRight" state="frozen"/>
      <selection activeCell="A33" sqref="A33"/>
      <selection pane="topRight" activeCell="G52" sqref="G52"/>
    </sheetView>
  </sheetViews>
  <sheetFormatPr baseColWidth="10" defaultColWidth="12.5" defaultRowHeight="16" x14ac:dyDescent="0"/>
  <cols>
    <col min="1" max="1" width="47.33203125" style="5" customWidth="1"/>
    <col min="2" max="2" width="13.6640625" style="344" bestFit="1" customWidth="1"/>
    <col min="3" max="6" width="13.1640625" style="344" bestFit="1" customWidth="1"/>
    <col min="7" max="7" width="13.1640625" style="299" bestFit="1" customWidth="1"/>
    <col min="8" max="19" width="14.5" style="299" bestFit="1" customWidth="1"/>
    <col min="20" max="21" width="16.5" style="299" bestFit="1" customWidth="1"/>
    <col min="22" max="37" width="12.5" style="299"/>
    <col min="38" max="16384" width="12.5" style="5"/>
  </cols>
  <sheetData>
    <row r="1" spans="1:37">
      <c r="A1" s="268" t="s">
        <v>63</v>
      </c>
    </row>
    <row r="2" spans="1:37">
      <c r="A2" s="272" t="s">
        <v>705</v>
      </c>
    </row>
    <row r="3" spans="1:37">
      <c r="A3" s="272" t="s">
        <v>657</v>
      </c>
    </row>
    <row r="4" spans="1:37">
      <c r="A4" s="272" t="s">
        <v>592</v>
      </c>
    </row>
    <row r="6" spans="1:37">
      <c r="A6" s="6" t="s">
        <v>64</v>
      </c>
    </row>
    <row r="7" spans="1:37">
      <c r="A7" s="6" t="s">
        <v>65</v>
      </c>
    </row>
    <row r="8" spans="1:37">
      <c r="A8" s="78" t="s">
        <v>280</v>
      </c>
    </row>
    <row r="10" spans="1:37">
      <c r="AK10" s="300"/>
    </row>
    <row r="11" spans="1:37">
      <c r="B11" s="364" t="s">
        <v>7</v>
      </c>
      <c r="C11" s="364" t="s">
        <v>8</v>
      </c>
      <c r="D11" s="364" t="s">
        <v>9</v>
      </c>
      <c r="E11" s="364" t="s">
        <v>10</v>
      </c>
      <c r="F11" s="364" t="s">
        <v>11</v>
      </c>
      <c r="G11" s="319" t="s">
        <v>12</v>
      </c>
      <c r="H11" s="319" t="s">
        <v>13</v>
      </c>
      <c r="I11" s="319" t="s">
        <v>14</v>
      </c>
      <c r="J11" s="319" t="s">
        <v>15</v>
      </c>
      <c r="K11" s="319" t="s">
        <v>16</v>
      </c>
      <c r="L11" s="319" t="s">
        <v>17</v>
      </c>
      <c r="M11" s="319" t="s">
        <v>18</v>
      </c>
      <c r="N11" s="319" t="s">
        <v>19</v>
      </c>
      <c r="O11" s="319" t="s">
        <v>20</v>
      </c>
      <c r="P11" s="319" t="s">
        <v>21</v>
      </c>
      <c r="Q11" s="319" t="s">
        <v>22</v>
      </c>
      <c r="R11" s="319" t="s">
        <v>23</v>
      </c>
      <c r="S11" s="319" t="s">
        <v>24</v>
      </c>
      <c r="T11" s="319" t="s">
        <v>25</v>
      </c>
      <c r="U11" s="319" t="s">
        <v>26</v>
      </c>
      <c r="V11" s="319" t="s">
        <v>27</v>
      </c>
      <c r="W11" s="319" t="s">
        <v>28</v>
      </c>
      <c r="X11" s="319" t="s">
        <v>29</v>
      </c>
      <c r="Y11" s="319" t="s">
        <v>30</v>
      </c>
      <c r="Z11" s="319" t="s">
        <v>31</v>
      </c>
      <c r="AA11" s="319" t="s">
        <v>582</v>
      </c>
      <c r="AB11" s="319" t="s">
        <v>583</v>
      </c>
      <c r="AC11" s="319" t="s">
        <v>584</v>
      </c>
      <c r="AD11" s="319" t="s">
        <v>585</v>
      </c>
      <c r="AE11" s="319" t="s">
        <v>586</v>
      </c>
      <c r="AF11" s="319" t="s">
        <v>587</v>
      </c>
      <c r="AG11" s="319" t="s">
        <v>588</v>
      </c>
      <c r="AH11" s="319" t="s">
        <v>589</v>
      </c>
      <c r="AI11" s="319" t="s">
        <v>590</v>
      </c>
      <c r="AJ11" s="319" t="s">
        <v>591</v>
      </c>
      <c r="AK11" s="319" t="s">
        <v>594</v>
      </c>
    </row>
    <row r="14" spans="1:37">
      <c r="A14" s="6" t="s">
        <v>66</v>
      </c>
    </row>
    <row r="16" spans="1:37">
      <c r="A16" s="6" t="s">
        <v>32</v>
      </c>
    </row>
    <row r="17" spans="1:38" s="251" customFormat="1">
      <c r="A17" s="250" t="s">
        <v>67</v>
      </c>
      <c r="B17" s="344"/>
      <c r="C17" s="344"/>
      <c r="D17" s="344"/>
      <c r="E17" s="344"/>
      <c r="F17" s="344"/>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38" s="251" customFormat="1">
      <c r="A18" s="250"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1" customFormat="1">
      <c r="A19" s="250"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1" customFormat="1">
      <c r="A20" s="250"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1" customFormat="1">
      <c r="A21" s="250"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1" customFormat="1">
      <c r="A22" s="250"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1" customFormat="1">
      <c r="A23" s="250"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1" customFormat="1">
      <c r="A24" s="250"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1" customFormat="1">
      <c r="A25" s="250"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1" customFormat="1">
      <c r="A26" s="250"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1" customFormat="1">
      <c r="A27" s="250"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1" customFormat="1">
      <c r="A28" s="250"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1" customFormat="1">
      <c r="A29" s="250"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1" customFormat="1">
      <c r="A30" s="250"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1" customFormat="1">
      <c r="A31" s="250"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1" customFormat="1">
      <c r="A32" s="250"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1" customFormat="1">
      <c r="A33" s="250"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1"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3" t="s">
        <v>756</v>
      </c>
    </row>
    <row r="35" spans="1:44" s="251" customFormat="1">
      <c r="A35" s="250" t="s">
        <v>754</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5"/>
    </row>
    <row r="36" spans="1:44" s="251" customFormat="1">
      <c r="A36" s="501" t="s">
        <v>720</v>
      </c>
      <c r="G36" s="499">
        <v>120.72598600000001</v>
      </c>
      <c r="H36" s="499">
        <v>121.06158400000001</v>
      </c>
      <c r="I36" s="499">
        <v>112.142273</v>
      </c>
      <c r="J36" s="499">
        <v>116.45523</v>
      </c>
      <c r="K36" s="499">
        <v>126.13446500000001</v>
      </c>
      <c r="L36" s="499">
        <v>125.40347299999999</v>
      </c>
      <c r="M36" s="499">
        <v>129.15868</v>
      </c>
      <c r="N36" s="499">
        <v>129.98703799999998</v>
      </c>
      <c r="O36" s="499">
        <v>129.736031</v>
      </c>
      <c r="P36" s="499">
        <v>129.82670200000001</v>
      </c>
      <c r="Q36" s="499">
        <v>126.001102</v>
      </c>
      <c r="R36" s="499">
        <v>124.37423700000001</v>
      </c>
      <c r="S36" s="499">
        <v>124.420585</v>
      </c>
      <c r="T36" s="499">
        <v>124.41148000000001</v>
      </c>
      <c r="U36" s="499">
        <v>124.460621</v>
      </c>
      <c r="V36" s="499">
        <v>124.04736299999999</v>
      </c>
      <c r="W36" s="499">
        <v>123.85875300000001</v>
      </c>
      <c r="X36" s="499">
        <v>123.67757</v>
      </c>
      <c r="Y36" s="499">
        <v>123.55519900000002</v>
      </c>
      <c r="Z36" s="499">
        <v>123.411175</v>
      </c>
      <c r="AA36" s="499">
        <v>123.259231</v>
      </c>
      <c r="AB36" s="499">
        <v>122.804199</v>
      </c>
      <c r="AC36" s="499">
        <v>122.655957</v>
      </c>
      <c r="AD36" s="499">
        <v>122.517231</v>
      </c>
      <c r="AE36" s="499">
        <v>122.411145</v>
      </c>
      <c r="AF36" s="499">
        <v>122.33852399999999</v>
      </c>
      <c r="AG36" s="499">
        <v>122.176277</v>
      </c>
      <c r="AH36" s="499">
        <v>122.03276400000001</v>
      </c>
      <c r="AI36" s="499">
        <v>121.905559</v>
      </c>
      <c r="AJ36" s="499">
        <v>121.76129499999999</v>
      </c>
      <c r="AK36" s="503">
        <v>0.03</v>
      </c>
      <c r="AL36" s="515" t="s">
        <v>68</v>
      </c>
      <c r="AM36" s="518">
        <v>5.2694327247387832E-2</v>
      </c>
    </row>
    <row r="37" spans="1:44" s="251" customFormat="1">
      <c r="A37" s="501" t="s">
        <v>721</v>
      </c>
      <c r="G37" s="499">
        <v>0.62127200000000005</v>
      </c>
      <c r="H37" s="499">
        <v>0.59678000000000009</v>
      </c>
      <c r="I37" s="499">
        <v>0.89980700000000002</v>
      </c>
      <c r="J37" s="499">
        <v>0.91695899999999997</v>
      </c>
      <c r="K37" s="499">
        <v>0.95265</v>
      </c>
      <c r="L37" s="499">
        <v>0.95290999999999992</v>
      </c>
      <c r="M37" s="499">
        <v>0.96764600000000001</v>
      </c>
      <c r="N37" s="499">
        <v>0.97380100000000003</v>
      </c>
      <c r="O37" s="499">
        <v>0.97239200000000003</v>
      </c>
      <c r="P37" s="499">
        <v>0.97311999999999999</v>
      </c>
      <c r="Q37" s="499">
        <v>0.95820799999999995</v>
      </c>
      <c r="R37" s="499">
        <v>0.95167100000000004</v>
      </c>
      <c r="S37" s="499">
        <v>0.95186300000000001</v>
      </c>
      <c r="T37" s="499">
        <v>0.95210400000000006</v>
      </c>
      <c r="U37" s="499">
        <v>0.95268299999999995</v>
      </c>
      <c r="V37" s="499">
        <v>0.951658</v>
      </c>
      <c r="W37" s="499">
        <v>0.95044600000000001</v>
      </c>
      <c r="X37" s="499">
        <v>0.94969800000000004</v>
      </c>
      <c r="Y37" s="499">
        <v>0.94920400000000005</v>
      </c>
      <c r="Z37" s="499">
        <v>0.94862599999999997</v>
      </c>
      <c r="AA37" s="499">
        <v>0.94799899999999993</v>
      </c>
      <c r="AB37" s="499">
        <v>0.94740899999999995</v>
      </c>
      <c r="AC37" s="499">
        <v>0.946828</v>
      </c>
      <c r="AD37" s="499">
        <v>0.94627399999999995</v>
      </c>
      <c r="AE37" s="499">
        <v>0.94586000000000003</v>
      </c>
      <c r="AF37" s="499">
        <v>0.94559100000000007</v>
      </c>
      <c r="AG37" s="499">
        <v>0.94483800000000007</v>
      </c>
      <c r="AH37" s="499">
        <v>0.94430499999999995</v>
      </c>
      <c r="AI37" s="499">
        <v>0.94387900000000002</v>
      </c>
      <c r="AJ37" s="499">
        <v>0.94330599999999998</v>
      </c>
      <c r="AK37" s="503">
        <v>-3.7999999999999999E-2</v>
      </c>
      <c r="AL37" s="516" t="s">
        <v>69</v>
      </c>
      <c r="AM37" s="518">
        <v>6.2784408688398519E-2</v>
      </c>
    </row>
    <row r="38" spans="1:44" s="251" customFormat="1">
      <c r="A38" s="501" t="s">
        <v>722</v>
      </c>
      <c r="G38" s="499">
        <v>33.117148999999998</v>
      </c>
      <c r="H38" s="499">
        <v>39.665295</v>
      </c>
      <c r="I38" s="499">
        <v>49.076461999999999</v>
      </c>
      <c r="J38" s="499">
        <v>48.092121000000006</v>
      </c>
      <c r="K38" s="499">
        <v>31.099326999999999</v>
      </c>
      <c r="L38" s="499">
        <v>33.621164</v>
      </c>
      <c r="M38" s="499">
        <v>33.406137000000001</v>
      </c>
      <c r="N38" s="499">
        <v>36.879492999999997</v>
      </c>
      <c r="O38" s="499">
        <v>38.340152000000003</v>
      </c>
      <c r="P38" s="499">
        <v>39.992522999999998</v>
      </c>
      <c r="Q38" s="499">
        <v>45.973090999999997</v>
      </c>
      <c r="R38" s="499">
        <v>51.54372</v>
      </c>
      <c r="S38" s="499">
        <v>55.234722000000005</v>
      </c>
      <c r="T38" s="499">
        <v>56.689168000000002</v>
      </c>
      <c r="U38" s="499">
        <v>59.602361000000002</v>
      </c>
      <c r="V38" s="499">
        <v>63.597943000000001</v>
      </c>
      <c r="W38" s="499">
        <v>65.925087000000005</v>
      </c>
      <c r="X38" s="499">
        <v>67.555729999999997</v>
      </c>
      <c r="Y38" s="499">
        <v>71.099356999999998</v>
      </c>
      <c r="Z38" s="499">
        <v>74.240241999999995</v>
      </c>
      <c r="AA38" s="499">
        <v>74.196168999999998</v>
      </c>
      <c r="AB38" s="499">
        <v>77.206038000000007</v>
      </c>
      <c r="AC38" s="499">
        <v>78.615527999999998</v>
      </c>
      <c r="AD38" s="499">
        <v>79.334253000000004</v>
      </c>
      <c r="AE38" s="499">
        <v>80.274561000000006</v>
      </c>
      <c r="AF38" s="499">
        <v>79.760390000000001</v>
      </c>
      <c r="AG38" s="499">
        <v>80.001097000000001</v>
      </c>
      <c r="AH38" s="499">
        <v>81.286634000000006</v>
      </c>
      <c r="AI38" s="499">
        <v>84.322208000000003</v>
      </c>
      <c r="AJ38" s="499">
        <v>87.020565000000005</v>
      </c>
      <c r="AK38" s="503">
        <v>-4.0000000000000001E-3</v>
      </c>
      <c r="AL38" s="516" t="s">
        <v>76</v>
      </c>
      <c r="AM38" s="518">
        <v>0.27</v>
      </c>
    </row>
    <row r="39" spans="1:44" s="251" customFormat="1">
      <c r="A39" s="501" t="s">
        <v>723</v>
      </c>
      <c r="G39" s="499">
        <v>4.806</v>
      </c>
      <c r="H39" s="499">
        <v>9.3339999999999996</v>
      </c>
      <c r="I39" s="499">
        <v>7.8059539999999998</v>
      </c>
      <c r="J39" s="499">
        <v>7.8757409999999997</v>
      </c>
      <c r="K39" s="499">
        <v>8.1149930000000001</v>
      </c>
      <c r="L39" s="499">
        <v>8.1847829999999995</v>
      </c>
      <c r="M39" s="499">
        <v>8.1847829999999995</v>
      </c>
      <c r="N39" s="499">
        <v>8.1847829999999995</v>
      </c>
      <c r="O39" s="499">
        <v>8.1847829999999995</v>
      </c>
      <c r="P39" s="499">
        <v>8.1847829999999995</v>
      </c>
      <c r="Q39" s="499">
        <v>8.1847829999999995</v>
      </c>
      <c r="R39" s="499">
        <v>8.1847829999999995</v>
      </c>
      <c r="S39" s="499">
        <v>8.1847829999999995</v>
      </c>
      <c r="T39" s="499">
        <v>8.1847829999999995</v>
      </c>
      <c r="U39" s="499">
        <v>8.1847829999999995</v>
      </c>
      <c r="V39" s="499">
        <v>8.1847829999999995</v>
      </c>
      <c r="W39" s="499">
        <v>8.1847829999999995</v>
      </c>
      <c r="X39" s="499">
        <v>8.1847829999999995</v>
      </c>
      <c r="Y39" s="499">
        <v>8.1847829999999995</v>
      </c>
      <c r="Z39" s="499">
        <v>8.1847829999999995</v>
      </c>
      <c r="AA39" s="499">
        <v>8.1847829999999995</v>
      </c>
      <c r="AB39" s="499">
        <v>8.1847829999999995</v>
      </c>
      <c r="AC39" s="499">
        <v>8.1847829999999995</v>
      </c>
      <c r="AD39" s="499">
        <v>8.1847829999999995</v>
      </c>
      <c r="AE39" s="499">
        <v>8.1847829999999995</v>
      </c>
      <c r="AF39" s="499">
        <v>8.1847829999999995</v>
      </c>
      <c r="AG39" s="499">
        <v>8.1847829999999995</v>
      </c>
      <c r="AH39" s="499">
        <v>8.1847829999999995</v>
      </c>
      <c r="AI39" s="499">
        <v>8.1847829999999995</v>
      </c>
      <c r="AJ39" s="499">
        <v>8.1847829999999995</v>
      </c>
      <c r="AK39" s="503">
        <v>-5.0000000000000001E-3</v>
      </c>
      <c r="AL39" s="516" t="s">
        <v>742</v>
      </c>
      <c r="AM39" s="518">
        <v>0.4750315313120167</v>
      </c>
    </row>
    <row r="40" spans="1:44" s="251" customFormat="1">
      <c r="A40" s="501" t="s">
        <v>724</v>
      </c>
      <c r="G40" s="499">
        <v>0.23122799999999999</v>
      </c>
      <c r="H40" s="499">
        <v>0.33035000000000003</v>
      </c>
      <c r="I40" s="499">
        <v>1.3511999999999996E-2</v>
      </c>
      <c r="J40" s="499">
        <v>1.3511999999999996E-2</v>
      </c>
      <c r="K40" s="499">
        <v>1.3511999999999996E-2</v>
      </c>
      <c r="L40" s="499">
        <v>1.3511999999999996E-2</v>
      </c>
      <c r="M40" s="499">
        <v>1.4013999999999999E-2</v>
      </c>
      <c r="N40" s="499">
        <v>1.4280000000000001E-2</v>
      </c>
      <c r="O40" s="499">
        <v>1.4343999999999996E-2</v>
      </c>
      <c r="P40" s="499">
        <v>1.4366000000000004E-2</v>
      </c>
      <c r="Q40" s="499">
        <v>1.6367000000000007E-2</v>
      </c>
      <c r="R40" s="499">
        <v>1.7008000000000009E-2</v>
      </c>
      <c r="S40" s="499">
        <v>1.7030000000000003E-2</v>
      </c>
      <c r="T40" s="499">
        <v>1.721099999999999E-2</v>
      </c>
      <c r="U40" s="499">
        <v>1.7351000000000005E-2</v>
      </c>
      <c r="V40" s="499">
        <v>1.7553000000000013E-2</v>
      </c>
      <c r="W40" s="499">
        <v>1.7667999999999989E-2</v>
      </c>
      <c r="X40" s="499">
        <v>1.772E-2</v>
      </c>
      <c r="Y40" s="499">
        <v>1.7791000000000001E-2</v>
      </c>
      <c r="Z40" s="499">
        <v>1.7880999999999994E-2</v>
      </c>
      <c r="AA40" s="499">
        <v>1.8125000000000002E-2</v>
      </c>
      <c r="AB40" s="499">
        <v>1.8248E-2</v>
      </c>
      <c r="AC40" s="499">
        <v>1.8317E-2</v>
      </c>
      <c r="AD40" s="499">
        <v>1.8393999999999994E-2</v>
      </c>
      <c r="AE40" s="499">
        <v>1.8472999999999989E-2</v>
      </c>
      <c r="AF40" s="499">
        <v>1.8757999999999997E-2</v>
      </c>
      <c r="AG40" s="499">
        <v>1.8873000000000001E-2</v>
      </c>
      <c r="AH40" s="499">
        <v>1.8983E-2</v>
      </c>
      <c r="AI40" s="499">
        <v>1.9057999999999992E-2</v>
      </c>
      <c r="AJ40" s="499">
        <v>1.915E-2</v>
      </c>
      <c r="AK40" s="503">
        <v>1E-3</v>
      </c>
      <c r="AL40" s="517" t="s">
        <v>225</v>
      </c>
      <c r="AM40" s="518">
        <v>1</v>
      </c>
    </row>
    <row r="41" spans="1:44" s="251" customFormat="1">
      <c r="A41" s="501" t="s">
        <v>725</v>
      </c>
      <c r="G41" s="499">
        <v>189.425432</v>
      </c>
      <c r="H41" s="499">
        <v>183.10309899999999</v>
      </c>
      <c r="I41" s="499">
        <v>161.279922</v>
      </c>
      <c r="J41" s="499">
        <v>164.29767899999999</v>
      </c>
      <c r="K41" s="499">
        <v>168.61283700000001</v>
      </c>
      <c r="L41" s="499">
        <v>173.02721199999999</v>
      </c>
      <c r="M41" s="499">
        <v>176.08523199999999</v>
      </c>
      <c r="N41" s="499">
        <v>176.71988099999999</v>
      </c>
      <c r="O41" s="499">
        <v>177.47684099999998</v>
      </c>
      <c r="P41" s="499">
        <v>177.56408199999998</v>
      </c>
      <c r="Q41" s="499">
        <v>178.673936</v>
      </c>
      <c r="R41" s="499">
        <v>179.277254</v>
      </c>
      <c r="S41" s="499">
        <v>180.167452</v>
      </c>
      <c r="T41" s="499">
        <v>181.21535600000001</v>
      </c>
      <c r="U41" s="499">
        <v>181.79784500000002</v>
      </c>
      <c r="V41" s="499">
        <v>183.08373800000001</v>
      </c>
      <c r="W41" s="499">
        <v>184.00170700000001</v>
      </c>
      <c r="X41" s="499">
        <v>184.451977</v>
      </c>
      <c r="Y41" s="499">
        <v>185.28033300000001</v>
      </c>
      <c r="Z41" s="499">
        <v>185.749101</v>
      </c>
      <c r="AA41" s="499">
        <v>187.159041</v>
      </c>
      <c r="AB41" s="499">
        <v>189.09426199999999</v>
      </c>
      <c r="AC41" s="499">
        <v>190.77137400000001</v>
      </c>
      <c r="AD41" s="499">
        <v>192.64729300000002</v>
      </c>
      <c r="AE41" s="499">
        <v>193.64615900000001</v>
      </c>
      <c r="AF41" s="499">
        <v>197.26296000000002</v>
      </c>
      <c r="AG41" s="499">
        <v>201.09660399999999</v>
      </c>
      <c r="AH41" s="499">
        <v>202.52672700000002</v>
      </c>
      <c r="AI41" s="499">
        <v>204.05673200000001</v>
      </c>
      <c r="AJ41" s="499">
        <v>204.829328</v>
      </c>
      <c r="AK41" s="503">
        <v>2.1000000000000001E-2</v>
      </c>
      <c r="AL41" s="517" t="s">
        <v>379</v>
      </c>
      <c r="AM41" s="518">
        <v>0.53588352078504664</v>
      </c>
    </row>
    <row r="42" spans="1:44" s="251" customFormat="1">
      <c r="A42" s="501" t="s">
        <v>726</v>
      </c>
      <c r="G42" s="499">
        <v>0</v>
      </c>
      <c r="H42" s="499">
        <v>0</v>
      </c>
      <c r="I42" s="499">
        <v>0</v>
      </c>
      <c r="J42" s="499">
        <v>0</v>
      </c>
      <c r="K42" s="499">
        <v>1.5115E-2</v>
      </c>
      <c r="L42" s="499">
        <v>0.11178200000000001</v>
      </c>
      <c r="M42" s="499">
        <v>0.223165</v>
      </c>
      <c r="N42" s="499">
        <v>0.32806600000000002</v>
      </c>
      <c r="O42" s="499">
        <v>0.338565</v>
      </c>
      <c r="P42" s="499">
        <v>0.34898499999999999</v>
      </c>
      <c r="Q42" s="499">
        <v>0.35950199999999999</v>
      </c>
      <c r="R42" s="499">
        <v>0.37012299999999998</v>
      </c>
      <c r="S42" s="499">
        <v>0.38046400000000002</v>
      </c>
      <c r="T42" s="499">
        <v>0.39595599999999997</v>
      </c>
      <c r="U42" s="499">
        <v>0.41773399999999999</v>
      </c>
      <c r="V42" s="499">
        <v>0.44779800000000003</v>
      </c>
      <c r="W42" s="499">
        <v>0.48069200000000001</v>
      </c>
      <c r="X42" s="499">
        <v>0.51378699999999999</v>
      </c>
      <c r="Y42" s="499">
        <v>0.54720600000000008</v>
      </c>
      <c r="Z42" s="499">
        <v>0.579071</v>
      </c>
      <c r="AA42" s="499">
        <v>0.60809800000000003</v>
      </c>
      <c r="AB42" s="499">
        <v>0.637741</v>
      </c>
      <c r="AC42" s="499">
        <v>0.67019300000000004</v>
      </c>
      <c r="AD42" s="499">
        <v>0.70581099999999997</v>
      </c>
      <c r="AE42" s="499">
        <v>0.73983899999999991</v>
      </c>
      <c r="AF42" s="499">
        <v>0.77408199999999994</v>
      </c>
      <c r="AG42" s="499">
        <v>0.852321</v>
      </c>
      <c r="AH42" s="499">
        <v>0.93569100000000005</v>
      </c>
      <c r="AI42" s="499">
        <v>1.0207109999999999</v>
      </c>
      <c r="AJ42" s="499">
        <v>1.1066560000000001</v>
      </c>
      <c r="AK42" s="499" t="s">
        <v>41</v>
      </c>
      <c r="AL42" s="517" t="s">
        <v>743</v>
      </c>
      <c r="AM42" s="518">
        <v>0.23855846649529119</v>
      </c>
    </row>
    <row r="43" spans="1:44" s="251" customFormat="1">
      <c r="A43" s="502" t="s">
        <v>727</v>
      </c>
      <c r="G43" s="500">
        <v>348.92707900000005</v>
      </c>
      <c r="H43" s="500">
        <v>354.091095</v>
      </c>
      <c r="I43" s="500">
        <v>331.21792600000003</v>
      </c>
      <c r="J43" s="500">
        <v>337.65123699999998</v>
      </c>
      <c r="K43" s="500">
        <v>334.94289400000002</v>
      </c>
      <c r="L43" s="500">
        <v>341.31483500000002</v>
      </c>
      <c r="M43" s="500">
        <v>348.03964999999994</v>
      </c>
      <c r="N43" s="500">
        <v>353.08734099999998</v>
      </c>
      <c r="O43" s="500">
        <v>355.06312600000001</v>
      </c>
      <c r="P43" s="500">
        <v>356.90457900000001</v>
      </c>
      <c r="Q43" s="500">
        <v>360.16699200000005</v>
      </c>
      <c r="R43" s="500">
        <v>364.71881100000002</v>
      </c>
      <c r="S43" s="500">
        <v>369.35690399999999</v>
      </c>
      <c r="T43" s="500">
        <v>371.86606600000005</v>
      </c>
      <c r="U43" s="500">
        <v>375.43338800000004</v>
      </c>
      <c r="V43" s="500">
        <v>380.33083399999998</v>
      </c>
      <c r="W43" s="500">
        <v>383.41915900000004</v>
      </c>
      <c r="X43" s="500">
        <v>385.35127199999999</v>
      </c>
      <c r="Y43" s="500">
        <v>389.63385099999999</v>
      </c>
      <c r="Z43" s="500">
        <v>393.13087399999995</v>
      </c>
      <c r="AA43" s="500">
        <v>394.37347399999999</v>
      </c>
      <c r="AB43" s="500">
        <v>398.89269300000001</v>
      </c>
      <c r="AC43" s="500">
        <v>401.86298400000004</v>
      </c>
      <c r="AD43" s="500">
        <v>404.35404199999999</v>
      </c>
      <c r="AE43" s="500">
        <v>406.22083200000003</v>
      </c>
      <c r="AF43" s="500">
        <v>409.28509500000001</v>
      </c>
      <c r="AG43" s="500">
        <v>413.27477199999998</v>
      </c>
      <c r="AH43" s="500">
        <v>415.92989399999999</v>
      </c>
      <c r="AI43" s="500">
        <v>420.45294200000001</v>
      </c>
      <c r="AJ43" s="500">
        <v>423.86506700000001</v>
      </c>
      <c r="AK43" s="504">
        <v>1E-3</v>
      </c>
      <c r="AL43" s="517" t="s">
        <v>744</v>
      </c>
      <c r="AM43" s="518">
        <v>0.15512959712493055</v>
      </c>
    </row>
    <row r="44" spans="1:44" s="251" customFormat="1">
      <c r="A44" s="250"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9" t="s">
        <v>58</v>
      </c>
      <c r="AM44" s="518">
        <v>0.28094708338575658</v>
      </c>
    </row>
    <row r="45" spans="1:44" s="251" customFormat="1">
      <c r="A45" s="250"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1" customFormat="1">
      <c r="A46" s="250"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3" customFormat="1">
      <c r="B47" s="364" t="s">
        <v>7</v>
      </c>
      <c r="C47" s="364" t="s">
        <v>8</v>
      </c>
      <c r="D47" s="364" t="s">
        <v>9</v>
      </c>
      <c r="E47" s="364" t="s">
        <v>10</v>
      </c>
      <c r="F47" s="364" t="s">
        <v>11</v>
      </c>
      <c r="G47" s="323" t="s">
        <v>12</v>
      </c>
      <c r="H47" s="323" t="s">
        <v>13</v>
      </c>
      <c r="I47" s="323" t="s">
        <v>14</v>
      </c>
      <c r="J47" s="323" t="s">
        <v>15</v>
      </c>
      <c r="K47" s="323" t="s">
        <v>16</v>
      </c>
      <c r="L47" s="323" t="s">
        <v>17</v>
      </c>
      <c r="M47" s="323" t="s">
        <v>18</v>
      </c>
      <c r="N47" s="323" t="s">
        <v>19</v>
      </c>
      <c r="O47" s="323" t="s">
        <v>20</v>
      </c>
      <c r="P47" s="323" t="s">
        <v>21</v>
      </c>
      <c r="Q47" s="323" t="s">
        <v>22</v>
      </c>
      <c r="R47" s="323" t="s">
        <v>23</v>
      </c>
      <c r="S47" s="323" t="s">
        <v>24</v>
      </c>
      <c r="T47" s="323" t="s">
        <v>25</v>
      </c>
      <c r="U47" s="323" t="s">
        <v>26</v>
      </c>
      <c r="V47" s="323" t="s">
        <v>27</v>
      </c>
      <c r="W47" s="323" t="s">
        <v>28</v>
      </c>
      <c r="X47" s="323" t="s">
        <v>29</v>
      </c>
      <c r="Y47" s="323" t="s">
        <v>30</v>
      </c>
      <c r="Z47" s="323" t="s">
        <v>31</v>
      </c>
      <c r="AA47" s="323" t="s">
        <v>582</v>
      </c>
      <c r="AB47" s="323" t="s">
        <v>583</v>
      </c>
      <c r="AC47" s="323" t="s">
        <v>584</v>
      </c>
      <c r="AD47" s="323" t="s">
        <v>585</v>
      </c>
      <c r="AE47" s="323" t="s">
        <v>586</v>
      </c>
      <c r="AF47" s="323" t="s">
        <v>587</v>
      </c>
      <c r="AG47" s="323" t="s">
        <v>588</v>
      </c>
      <c r="AH47" s="323" t="s">
        <v>589</v>
      </c>
      <c r="AI47" s="323" t="s">
        <v>590</v>
      </c>
      <c r="AJ47" s="323" t="s">
        <v>591</v>
      </c>
      <c r="AK47" s="323" t="s">
        <v>594</v>
      </c>
    </row>
    <row r="48" spans="1:44" s="255" customFormat="1">
      <c r="A48" s="254" t="s">
        <v>755</v>
      </c>
      <c r="B48" s="365"/>
      <c r="C48" s="365"/>
      <c r="D48" s="365"/>
      <c r="E48" s="365"/>
      <c r="F48" s="365"/>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M48" s="255" t="s">
        <v>751</v>
      </c>
      <c r="AN48" s="255">
        <v>2006</v>
      </c>
      <c r="AO48" s="255">
        <v>2007</v>
      </c>
      <c r="AP48" s="255">
        <v>2008</v>
      </c>
      <c r="AQ48" s="255">
        <v>2009</v>
      </c>
      <c r="AR48" s="255">
        <v>2010</v>
      </c>
    </row>
    <row r="49" spans="1:44" s="255" customFormat="1">
      <c r="A49" s="254" t="s">
        <v>68</v>
      </c>
      <c r="B49" s="505">
        <f>AN51</f>
        <v>6.3730000000000002</v>
      </c>
      <c r="C49" s="505">
        <f t="shared" ref="C49:F49" si="0">AO51</f>
        <v>8.5570000000000004</v>
      </c>
      <c r="D49" s="505">
        <f t="shared" si="0"/>
        <v>8.7620000000000005</v>
      </c>
      <c r="E49" s="505">
        <f t="shared" si="0"/>
        <v>7.4779999999999998</v>
      </c>
      <c r="F49" s="505">
        <f t="shared" si="0"/>
        <v>8.5269999999999992</v>
      </c>
      <c r="G49" s="484">
        <f t="shared" ref="G49:AJ49" si="1">G36*$AM36</f>
        <v>6.3615746135475622</v>
      </c>
      <c r="H49" s="484">
        <f t="shared" si="1"/>
        <v>6.3792587243831314</v>
      </c>
      <c r="I49" s="484">
        <f t="shared" si="1"/>
        <v>5.9092616317279045</v>
      </c>
      <c r="J49" s="484">
        <f t="shared" si="1"/>
        <v>6.1365299992898166</v>
      </c>
      <c r="K49" s="484">
        <f t="shared" si="1"/>
        <v>6.6465707758841868</v>
      </c>
      <c r="L49" s="484">
        <f t="shared" si="1"/>
        <v>6.6080516442209634</v>
      </c>
      <c r="M49" s="484">
        <f t="shared" si="1"/>
        <v>6.8059297507606455</v>
      </c>
      <c r="N49" s="484">
        <f t="shared" si="1"/>
        <v>6.8495795182906365</v>
      </c>
      <c r="O49" s="484">
        <f t="shared" si="1"/>
        <v>6.8363528732912524</v>
      </c>
      <c r="P49" s="484">
        <f t="shared" si="1"/>
        <v>6.8411307206371008</v>
      </c>
      <c r="Q49" s="484">
        <f t="shared" si="1"/>
        <v>6.6395433023194936</v>
      </c>
      <c r="R49" s="484">
        <f t="shared" si="1"/>
        <v>6.5538167456221723</v>
      </c>
      <c r="S49" s="484">
        <f t="shared" si="1"/>
        <v>6.5562590223014334</v>
      </c>
      <c r="T49" s="484">
        <f t="shared" si="1"/>
        <v>6.5557792404518471</v>
      </c>
      <c r="U49" s="484">
        <f t="shared" si="1"/>
        <v>6.5583686923871101</v>
      </c>
      <c r="V49" s="484">
        <f t="shared" si="1"/>
        <v>6.536592340097509</v>
      </c>
      <c r="W49" s="484">
        <f t="shared" si="1"/>
        <v>6.52665366303538</v>
      </c>
      <c r="X49" s="484">
        <f t="shared" si="1"/>
        <v>6.5171063467417163</v>
      </c>
      <c r="Y49" s="484">
        <f t="shared" si="1"/>
        <v>6.5106580892221269</v>
      </c>
      <c r="Z49" s="484">
        <f t="shared" si="1"/>
        <v>6.503068841434648</v>
      </c>
      <c r="AA49" s="484">
        <f t="shared" si="1"/>
        <v>6.4950622545753705</v>
      </c>
      <c r="AB49" s="484">
        <f t="shared" si="1"/>
        <v>6.4710846494593373</v>
      </c>
      <c r="AC49" s="484">
        <f t="shared" si="1"/>
        <v>6.46327313699953</v>
      </c>
      <c r="AD49" s="484">
        <f t="shared" si="1"/>
        <v>6.4559630637578085</v>
      </c>
      <c r="AE49" s="484">
        <f t="shared" si="1"/>
        <v>6.4503729333574427</v>
      </c>
      <c r="AF49" s="484">
        <f t="shared" si="1"/>
        <v>6.4465462186184102</v>
      </c>
      <c r="AG49" s="484">
        <f t="shared" si="1"/>
        <v>6.4379967221055034</v>
      </c>
      <c r="AH49" s="484">
        <f t="shared" si="1"/>
        <v>6.4304344011192498</v>
      </c>
      <c r="AI49" s="484">
        <f t="shared" si="1"/>
        <v>6.4237314192217445</v>
      </c>
      <c r="AJ49" s="484">
        <f t="shared" si="1"/>
        <v>6.4161295247957275</v>
      </c>
      <c r="AK49"/>
    </row>
    <row r="50" spans="1:44" s="255" customFormat="1">
      <c r="A50" s="254" t="s">
        <v>69</v>
      </c>
      <c r="B50" s="505">
        <f t="shared" ref="B50:B51" si="2">AN52</f>
        <v>3.7999999999999999E-2</v>
      </c>
      <c r="C50" s="505">
        <f t="shared" ref="C50:C51" si="3">AO52</f>
        <v>3.6999999999999998E-2</v>
      </c>
      <c r="D50" s="505">
        <f t="shared" ref="D50:D51" si="4">AP52</f>
        <v>3.5000000000000003E-2</v>
      </c>
      <c r="E50" s="505">
        <f t="shared" ref="E50:E51" si="5">AQ52</f>
        <v>5.3999999999999999E-2</v>
      </c>
      <c r="F50" s="505">
        <f t="shared" ref="F50:F51" si="6">AR52</f>
        <v>3.2000000000000001E-2</v>
      </c>
      <c r="G50" s="484">
        <f t="shared" ref="G50:AJ50" si="7">G37*$AM37</f>
        <v>3.9006195154658731E-2</v>
      </c>
      <c r="H50" s="484">
        <f t="shared" si="7"/>
        <v>3.7468479417062474E-2</v>
      </c>
      <c r="I50" s="484">
        <f t="shared" si="7"/>
        <v>5.6493850428681811E-2</v>
      </c>
      <c r="J50" s="484">
        <f t="shared" si="7"/>
        <v>5.7570728606505216E-2</v>
      </c>
      <c r="K50" s="484">
        <f t="shared" si="7"/>
        <v>5.9811566937002847E-2</v>
      </c>
      <c r="L50" s="484">
        <f t="shared" si="7"/>
        <v>5.9827890883261826E-2</v>
      </c>
      <c r="M50" s="484">
        <f t="shared" si="7"/>
        <v>6.0753081929694072E-2</v>
      </c>
      <c r="N50" s="484">
        <f t="shared" si="7"/>
        <v>6.1139519965171168E-2</v>
      </c>
      <c r="O50" s="484">
        <f t="shared" si="7"/>
        <v>6.1051056733329216E-2</v>
      </c>
      <c r="P50" s="484">
        <f t="shared" si="7"/>
        <v>6.1096763782854363E-2</v>
      </c>
      <c r="Q50" s="484">
        <f t="shared" si="7"/>
        <v>6.0160522680492962E-2</v>
      </c>
      <c r="R50" s="484">
        <f t="shared" si="7"/>
        <v>5.9750101000896907E-2</v>
      </c>
      <c r="S50" s="484">
        <f t="shared" si="7"/>
        <v>5.9762155607365079E-2</v>
      </c>
      <c r="T50" s="484">
        <f t="shared" si="7"/>
        <v>5.9777286649858985E-2</v>
      </c>
      <c r="U50" s="484">
        <f t="shared" si="7"/>
        <v>5.9813638822489565E-2</v>
      </c>
      <c r="V50" s="484">
        <f t="shared" si="7"/>
        <v>5.9749284803583956E-2</v>
      </c>
      <c r="W50" s="484">
        <f t="shared" si="7"/>
        <v>5.9673190100253619E-2</v>
      </c>
      <c r="X50" s="484">
        <f t="shared" si="7"/>
        <v>5.9626227362554698E-2</v>
      </c>
      <c r="Y50" s="484">
        <f t="shared" si="7"/>
        <v>5.9595211864662628E-2</v>
      </c>
      <c r="Z50" s="484">
        <f t="shared" si="7"/>
        <v>5.9558922476440734E-2</v>
      </c>
      <c r="AA50" s="484">
        <f t="shared" si="7"/>
        <v>5.9519556652193099E-2</v>
      </c>
      <c r="AB50" s="484">
        <f t="shared" si="7"/>
        <v>5.9482513851066947E-2</v>
      </c>
      <c r="AC50" s="484">
        <f t="shared" si="7"/>
        <v>5.9446036109618995E-2</v>
      </c>
      <c r="AD50" s="484">
        <f t="shared" si="7"/>
        <v>5.9411253547205618E-2</v>
      </c>
      <c r="AE50" s="484">
        <f t="shared" si="7"/>
        <v>5.9385260802008628E-2</v>
      </c>
      <c r="AF50" s="484">
        <f t="shared" si="7"/>
        <v>5.9368371796071448E-2</v>
      </c>
      <c r="AG50" s="484">
        <f t="shared" si="7"/>
        <v>5.9321095136329084E-2</v>
      </c>
      <c r="AH50" s="484">
        <f t="shared" si="7"/>
        <v>5.928763104649816E-2</v>
      </c>
      <c r="AI50" s="484">
        <f t="shared" si="7"/>
        <v>5.9260884888396904E-2</v>
      </c>
      <c r="AJ50" s="484">
        <f t="shared" si="7"/>
        <v>5.9224909422218454E-2</v>
      </c>
      <c r="AK50"/>
      <c r="AM50" s="255" t="s">
        <v>748</v>
      </c>
      <c r="AN50" s="255">
        <v>14.255000000000001</v>
      </c>
      <c r="AO50" s="255">
        <v>16.215</v>
      </c>
      <c r="AP50" s="255">
        <v>18.879000000000001</v>
      </c>
      <c r="AQ50" s="255">
        <v>19.747</v>
      </c>
      <c r="AR50" s="255">
        <v>19.210999999999999</v>
      </c>
    </row>
    <row r="51" spans="1:44" s="255" customFormat="1">
      <c r="A51" s="254" t="s">
        <v>76</v>
      </c>
      <c r="B51" s="505">
        <f t="shared" si="2"/>
        <v>7.4950000000000001</v>
      </c>
      <c r="C51" s="505">
        <f t="shared" si="3"/>
        <v>7.2869999999999999</v>
      </c>
      <c r="D51" s="505">
        <f t="shared" si="4"/>
        <v>9.8089999999999993</v>
      </c>
      <c r="E51" s="505">
        <f t="shared" si="5"/>
        <v>11.971</v>
      </c>
      <c r="F51" s="505">
        <f t="shared" si="6"/>
        <v>10.359</v>
      </c>
      <c r="G51" s="484">
        <f t="shared" ref="G51:AJ51" si="8">G38*$AM38</f>
        <v>8.9416302299999995</v>
      </c>
      <c r="H51" s="484">
        <f t="shared" si="8"/>
        <v>10.70962965</v>
      </c>
      <c r="I51" s="484">
        <f t="shared" si="8"/>
        <v>13.25064474</v>
      </c>
      <c r="J51" s="484">
        <f t="shared" si="8"/>
        <v>12.984872670000003</v>
      </c>
      <c r="K51" s="484">
        <f t="shared" si="8"/>
        <v>8.3968182900000006</v>
      </c>
      <c r="L51" s="484">
        <f t="shared" si="8"/>
        <v>9.0777142800000004</v>
      </c>
      <c r="M51" s="484">
        <f t="shared" si="8"/>
        <v>9.0196569900000014</v>
      </c>
      <c r="N51" s="484">
        <f t="shared" si="8"/>
        <v>9.9574631099999991</v>
      </c>
      <c r="O51" s="484">
        <f t="shared" si="8"/>
        <v>10.351841040000002</v>
      </c>
      <c r="P51" s="484">
        <f t="shared" si="8"/>
        <v>10.79798121</v>
      </c>
      <c r="Q51" s="484">
        <f t="shared" si="8"/>
        <v>12.41273457</v>
      </c>
      <c r="R51" s="484">
        <f t="shared" si="8"/>
        <v>13.9168044</v>
      </c>
      <c r="S51" s="484">
        <f t="shared" si="8"/>
        <v>14.913374940000002</v>
      </c>
      <c r="T51" s="484">
        <f t="shared" si="8"/>
        <v>15.306075360000001</v>
      </c>
      <c r="U51" s="484">
        <f t="shared" si="8"/>
        <v>16.092637470000003</v>
      </c>
      <c r="V51" s="484">
        <f t="shared" si="8"/>
        <v>17.171444610000002</v>
      </c>
      <c r="W51" s="484">
        <f t="shared" si="8"/>
        <v>17.799773490000003</v>
      </c>
      <c r="X51" s="484">
        <f t="shared" si="8"/>
        <v>18.240047100000002</v>
      </c>
      <c r="Y51" s="484">
        <f t="shared" si="8"/>
        <v>19.196826390000002</v>
      </c>
      <c r="Z51" s="484">
        <f t="shared" si="8"/>
        <v>20.044865340000001</v>
      </c>
      <c r="AA51" s="484">
        <f t="shared" si="8"/>
        <v>20.03296563</v>
      </c>
      <c r="AB51" s="484">
        <f t="shared" si="8"/>
        <v>20.845630260000004</v>
      </c>
      <c r="AC51" s="484">
        <f t="shared" si="8"/>
        <v>21.226192560000001</v>
      </c>
      <c r="AD51" s="484">
        <f t="shared" si="8"/>
        <v>21.420248310000002</v>
      </c>
      <c r="AE51" s="484">
        <f t="shared" si="8"/>
        <v>21.674131470000003</v>
      </c>
      <c r="AF51" s="484">
        <f t="shared" si="8"/>
        <v>21.535305300000001</v>
      </c>
      <c r="AG51" s="484">
        <f t="shared" si="8"/>
        <v>21.600296190000002</v>
      </c>
      <c r="AH51" s="484">
        <f t="shared" si="8"/>
        <v>21.947391180000004</v>
      </c>
      <c r="AI51" s="484">
        <f t="shared" si="8"/>
        <v>22.766996160000001</v>
      </c>
      <c r="AJ51" s="484">
        <f t="shared" si="8"/>
        <v>23.495552550000003</v>
      </c>
      <c r="AK51"/>
      <c r="AM51" s="255" t="s">
        <v>68</v>
      </c>
      <c r="AN51" s="255">
        <v>6.3730000000000002</v>
      </c>
      <c r="AO51" s="255">
        <v>8.5570000000000004</v>
      </c>
      <c r="AP51" s="255">
        <v>8.7620000000000005</v>
      </c>
      <c r="AQ51" s="255">
        <v>7.4779999999999998</v>
      </c>
      <c r="AR51" s="255">
        <v>8.5269999999999992</v>
      </c>
    </row>
    <row r="52" spans="1:44" s="255" customFormat="1">
      <c r="A52" s="254" t="s">
        <v>71</v>
      </c>
      <c r="B52" s="506">
        <f>AN55</f>
        <v>9.3279999999999994</v>
      </c>
      <c r="C52" s="506">
        <f t="shared" ref="C52:F52" si="9">AO55</f>
        <v>8.109</v>
      </c>
      <c r="D52" s="506">
        <f t="shared" si="9"/>
        <v>9.27</v>
      </c>
      <c r="E52" s="506">
        <f t="shared" si="9"/>
        <v>6.6340000000000003</v>
      </c>
      <c r="F52" s="506">
        <f t="shared" si="9"/>
        <v>9.2409999999999997</v>
      </c>
      <c r="G52" s="484">
        <f>G39*$AM40</f>
        <v>4.806</v>
      </c>
      <c r="H52" s="484">
        <f t="shared" ref="H52:AJ52" si="10">H39*$AM40</f>
        <v>9.3339999999999996</v>
      </c>
      <c r="I52" s="484">
        <f t="shared" si="10"/>
        <v>7.8059539999999998</v>
      </c>
      <c r="J52" s="484">
        <f t="shared" si="10"/>
        <v>7.8757409999999997</v>
      </c>
      <c r="K52" s="484">
        <f t="shared" si="10"/>
        <v>8.1149930000000001</v>
      </c>
      <c r="L52" s="484">
        <f t="shared" si="10"/>
        <v>8.1847829999999995</v>
      </c>
      <c r="M52" s="484">
        <f t="shared" si="10"/>
        <v>8.1847829999999995</v>
      </c>
      <c r="N52" s="484">
        <f t="shared" si="10"/>
        <v>8.1847829999999995</v>
      </c>
      <c r="O52" s="484">
        <f t="shared" si="10"/>
        <v>8.1847829999999995</v>
      </c>
      <c r="P52" s="484">
        <f t="shared" si="10"/>
        <v>8.1847829999999995</v>
      </c>
      <c r="Q52" s="484">
        <f t="shared" si="10"/>
        <v>8.1847829999999995</v>
      </c>
      <c r="R52" s="484">
        <f t="shared" si="10"/>
        <v>8.1847829999999995</v>
      </c>
      <c r="S52" s="484">
        <f t="shared" si="10"/>
        <v>8.1847829999999995</v>
      </c>
      <c r="T52" s="484">
        <f t="shared" si="10"/>
        <v>8.1847829999999995</v>
      </c>
      <c r="U52" s="484">
        <f t="shared" si="10"/>
        <v>8.1847829999999995</v>
      </c>
      <c r="V52" s="484">
        <f t="shared" si="10"/>
        <v>8.1847829999999995</v>
      </c>
      <c r="W52" s="484">
        <f t="shared" si="10"/>
        <v>8.1847829999999995</v>
      </c>
      <c r="X52" s="484">
        <f t="shared" si="10"/>
        <v>8.1847829999999995</v>
      </c>
      <c r="Y52" s="484">
        <f t="shared" si="10"/>
        <v>8.1847829999999995</v>
      </c>
      <c r="Z52" s="484">
        <f t="shared" si="10"/>
        <v>8.1847829999999995</v>
      </c>
      <c r="AA52" s="484">
        <f t="shared" si="10"/>
        <v>8.1847829999999995</v>
      </c>
      <c r="AB52" s="484">
        <f t="shared" si="10"/>
        <v>8.1847829999999995</v>
      </c>
      <c r="AC52" s="484">
        <f t="shared" si="10"/>
        <v>8.1847829999999995</v>
      </c>
      <c r="AD52" s="484">
        <f t="shared" si="10"/>
        <v>8.1847829999999995</v>
      </c>
      <c r="AE52" s="484">
        <f t="shared" si="10"/>
        <v>8.1847829999999995</v>
      </c>
      <c r="AF52" s="484">
        <f t="shared" si="10"/>
        <v>8.1847829999999995</v>
      </c>
      <c r="AG52" s="484">
        <f t="shared" si="10"/>
        <v>8.1847829999999995</v>
      </c>
      <c r="AH52" s="484">
        <f t="shared" si="10"/>
        <v>8.1847829999999995</v>
      </c>
      <c r="AI52" s="484">
        <f t="shared" si="10"/>
        <v>8.1847829999999995</v>
      </c>
      <c r="AJ52" s="484">
        <f t="shared" si="10"/>
        <v>8.1847829999999995</v>
      </c>
      <c r="AK52"/>
      <c r="AM52" s="255" t="s">
        <v>69</v>
      </c>
      <c r="AN52" s="255">
        <v>3.7999999999999999E-2</v>
      </c>
      <c r="AO52" s="255">
        <v>3.6999999999999998E-2</v>
      </c>
      <c r="AP52" s="255">
        <v>3.5000000000000003E-2</v>
      </c>
      <c r="AQ52" s="255">
        <v>5.3999999999999999E-2</v>
      </c>
      <c r="AR52" s="255">
        <v>3.2000000000000001E-2</v>
      </c>
    </row>
    <row r="53" spans="1:44" s="255" customFormat="1">
      <c r="A53" s="254" t="s">
        <v>326</v>
      </c>
      <c r="B53" s="507"/>
      <c r="C53" s="507"/>
      <c r="D53" s="507"/>
      <c r="E53" s="507"/>
      <c r="F53" s="507"/>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c r="AM53" s="255" t="s">
        <v>746</v>
      </c>
      <c r="AN53" s="255">
        <v>7.4950000000000001</v>
      </c>
      <c r="AO53" s="255">
        <v>7.2869999999999999</v>
      </c>
      <c r="AP53" s="255">
        <v>9.8089999999999993</v>
      </c>
      <c r="AQ53" s="255">
        <v>11.971</v>
      </c>
      <c r="AR53" s="255">
        <v>10.359</v>
      </c>
    </row>
    <row r="54" spans="1:44" s="255" customFormat="1">
      <c r="A54" s="254" t="s">
        <v>628</v>
      </c>
      <c r="B54" s="506">
        <f>AN56</f>
        <v>84.51</v>
      </c>
      <c r="C54" s="506">
        <f t="shared" ref="C54:F54" si="11">AO56</f>
        <v>82.56</v>
      </c>
      <c r="D54" s="506">
        <f t="shared" si="11"/>
        <v>82.575000000000003</v>
      </c>
      <c r="E54" s="506">
        <f t="shared" si="11"/>
        <v>77.977000000000004</v>
      </c>
      <c r="F54" s="506">
        <f t="shared" si="11"/>
        <v>74.905000000000001</v>
      </c>
      <c r="G54" s="484">
        <f>EIA_RE_aeo2014!G79</f>
        <v>95.62866913420703</v>
      </c>
      <c r="H54" s="484">
        <f>EIA_RE_aeo2014!H79</f>
        <v>90.966594517842907</v>
      </c>
      <c r="I54" s="484">
        <f>EIA_RE_aeo2014!I79</f>
        <v>77.091694280769048</v>
      </c>
      <c r="J54" s="484">
        <f>EIA_RE_aeo2014!J79</f>
        <v>78.615251910572411</v>
      </c>
      <c r="K54" s="484">
        <f>EIA_RE_aeo2014!K79</f>
        <v>80.26371520945024</v>
      </c>
      <c r="L54" s="484">
        <f>EIA_RE_aeo2014!L79</f>
        <v>81.848151514514569</v>
      </c>
      <c r="M54" s="484">
        <f>EIA_RE_aeo2014!M79</f>
        <v>82.914743038534425</v>
      </c>
      <c r="N54" s="484">
        <f>EIA_RE_aeo2014!N79</f>
        <v>82.844591829461294</v>
      </c>
      <c r="O54" s="484">
        <f>EIA_RE_aeo2014!O79</f>
        <v>83.163388265798858</v>
      </c>
      <c r="P54" s="484">
        <f>EIA_RE_aeo2014!P79</f>
        <v>83.246463058896126</v>
      </c>
      <c r="Q54" s="484">
        <f>EIA_RE_aeo2014!Q79</f>
        <v>83.685032590391543</v>
      </c>
      <c r="R54" s="484">
        <f>EIA_RE_aeo2014!R79</f>
        <v>83.689222430193865</v>
      </c>
      <c r="S54" s="484">
        <f>EIA_RE_aeo2014!S79</f>
        <v>83.771444783990546</v>
      </c>
      <c r="T54" s="484">
        <f>EIA_RE_aeo2014!T79</f>
        <v>83.901341529280813</v>
      </c>
      <c r="U54" s="484">
        <f>EIA_RE_aeo2014!U79</f>
        <v>83.838829216986426</v>
      </c>
      <c r="V54" s="484">
        <f>EIA_RE_aeo2014!V79</f>
        <v>84.034781749981278</v>
      </c>
      <c r="W54" s="484">
        <f>EIA_RE_aeo2014!W79</f>
        <v>84.097741876166253</v>
      </c>
      <c r="X54" s="484">
        <f>EIA_RE_aeo2014!X79</f>
        <v>84.130311934318541</v>
      </c>
      <c r="Y54" s="484">
        <f>EIA_RE_aeo2014!Y79</f>
        <v>84.565707690171507</v>
      </c>
      <c r="Z54" s="484">
        <f>EIA_RE_aeo2014!Z79</f>
        <v>84.614513335481789</v>
      </c>
      <c r="AA54" s="484">
        <f>EIA_RE_aeo2014!AA79</f>
        <v>84.820853095401105</v>
      </c>
      <c r="AB54" s="484">
        <f>EIA_RE_aeo2014!AB79</f>
        <v>84.939533817340745</v>
      </c>
      <c r="AC54" s="484">
        <f>EIA_RE_aeo2014!AC79</f>
        <v>85.055350053926901</v>
      </c>
      <c r="AD54" s="484">
        <f>EIA_RE_aeo2014!AD79</f>
        <v>85.170021422640872</v>
      </c>
      <c r="AE54" s="484">
        <f>EIA_RE_aeo2014!AE79</f>
        <v>85.364277068281098</v>
      </c>
      <c r="AF54" s="484">
        <f>EIA_RE_aeo2014!AF79</f>
        <v>86.086757763517824</v>
      </c>
      <c r="AG54" s="484">
        <f>EIA_RE_aeo2014!AG79</f>
        <v>86.867445312852098</v>
      </c>
      <c r="AH54" s="484">
        <f>EIA_RE_aeo2014!AH79</f>
        <v>87.129815172168051</v>
      </c>
      <c r="AI54" s="484">
        <f>EIA_RE_aeo2014!AI79</f>
        <v>87.631254576974698</v>
      </c>
      <c r="AJ54" s="484">
        <f>EIA_RE_aeo2014!AJ79</f>
        <v>87.853006997285576</v>
      </c>
      <c r="AK54"/>
      <c r="AM54" s="255" t="s">
        <v>749</v>
      </c>
      <c r="AN54" s="255">
        <v>0.34899999999999998</v>
      </c>
      <c r="AO54" s="255">
        <v>0.33400000000000002</v>
      </c>
      <c r="AP54" s="255">
        <v>0.27200000000000002</v>
      </c>
      <c r="AQ54" s="255">
        <v>0.245</v>
      </c>
      <c r="AR54" s="255">
        <v>0.29199999999999998</v>
      </c>
    </row>
    <row r="55" spans="1:44" s="255" customFormat="1">
      <c r="A55" s="254" t="s">
        <v>629</v>
      </c>
      <c r="B55" s="506">
        <f>AN58</f>
        <v>6.2E-2</v>
      </c>
      <c r="C55" s="506">
        <f t="shared" ref="C55:F55" si="12">AO58</f>
        <v>6.2E-2</v>
      </c>
      <c r="D55" s="506">
        <f t="shared" si="12"/>
        <v>5.6000000000000001E-2</v>
      </c>
      <c r="E55" s="506">
        <f t="shared" si="12"/>
        <v>5.8999999999999997E-2</v>
      </c>
      <c r="F55" s="506">
        <f t="shared" si="12"/>
        <v>6.2E-2</v>
      </c>
      <c r="G55" s="484">
        <f>G40*$AM43</f>
        <v>3.5870306484003439E-2</v>
      </c>
      <c r="H55" s="484">
        <f t="shared" ref="H55:AJ55" si="13">H40*$AM43</f>
        <v>5.1247062410220812E-2</v>
      </c>
      <c r="I55" s="484">
        <f t="shared" si="13"/>
        <v>2.0961111163520611E-3</v>
      </c>
      <c r="J55" s="484">
        <f t="shared" si="13"/>
        <v>2.0961111163520611E-3</v>
      </c>
      <c r="K55" s="484">
        <f t="shared" si="13"/>
        <v>2.0961111163520611E-3</v>
      </c>
      <c r="L55" s="484">
        <f t="shared" si="13"/>
        <v>2.0961111163520611E-3</v>
      </c>
      <c r="M55" s="484">
        <f t="shared" si="13"/>
        <v>2.1739861741087766E-3</v>
      </c>
      <c r="N55" s="484">
        <f t="shared" si="13"/>
        <v>2.2152506469440086E-3</v>
      </c>
      <c r="O55" s="484">
        <f t="shared" si="13"/>
        <v>2.2251789411600032E-3</v>
      </c>
      <c r="P55" s="484">
        <f t="shared" si="13"/>
        <v>2.2285917922967528E-3</v>
      </c>
      <c r="Q55" s="484">
        <f t="shared" si="13"/>
        <v>2.5390061161437391E-3</v>
      </c>
      <c r="R55" s="484">
        <f t="shared" si="13"/>
        <v>2.6384441879008201E-3</v>
      </c>
      <c r="S55" s="484">
        <f t="shared" si="13"/>
        <v>2.6418570390375679E-3</v>
      </c>
      <c r="T55" s="484">
        <f t="shared" si="13"/>
        <v>2.6699354961171782E-3</v>
      </c>
      <c r="U55" s="484">
        <f t="shared" si="13"/>
        <v>2.6916536397146706E-3</v>
      </c>
      <c r="V55" s="484">
        <f t="shared" si="13"/>
        <v>2.7229898183339079E-3</v>
      </c>
      <c r="W55" s="484">
        <f t="shared" si="13"/>
        <v>2.7408297220032712E-3</v>
      </c>
      <c r="X55" s="484">
        <f t="shared" si="13"/>
        <v>2.7488964610537692E-3</v>
      </c>
      <c r="Y55" s="484">
        <f t="shared" si="13"/>
        <v>2.7599106624496394E-3</v>
      </c>
      <c r="Z55" s="484">
        <f t="shared" si="13"/>
        <v>2.7738723261908822E-3</v>
      </c>
      <c r="AA55" s="484">
        <f t="shared" si="13"/>
        <v>2.8117239478893663E-3</v>
      </c>
      <c r="AB55" s="484">
        <f t="shared" si="13"/>
        <v>2.8308048883357328E-3</v>
      </c>
      <c r="AC55" s="484">
        <f t="shared" si="13"/>
        <v>2.8415088305373528E-3</v>
      </c>
      <c r="AD55" s="484">
        <f t="shared" si="13"/>
        <v>2.8534538095159713E-3</v>
      </c>
      <c r="AE55" s="484">
        <f t="shared" si="13"/>
        <v>2.8657090476888404E-3</v>
      </c>
      <c r="AF55" s="484">
        <f t="shared" si="13"/>
        <v>2.9099209828694467E-3</v>
      </c>
      <c r="AG55" s="484">
        <f t="shared" si="13"/>
        <v>2.9277608865388143E-3</v>
      </c>
      <c r="AH55" s="484">
        <f t="shared" si="13"/>
        <v>2.9448251422225565E-3</v>
      </c>
      <c r="AI55" s="484">
        <f t="shared" si="13"/>
        <v>2.9564598620069249E-3</v>
      </c>
      <c r="AJ55" s="484">
        <f t="shared" si="13"/>
        <v>2.97073178494242E-3</v>
      </c>
      <c r="AK55"/>
      <c r="AM55" s="255" t="s">
        <v>225</v>
      </c>
      <c r="AN55" s="255">
        <v>9.3279999999999994</v>
      </c>
      <c r="AO55" s="255">
        <v>8.109</v>
      </c>
      <c r="AP55" s="255">
        <v>9.27</v>
      </c>
      <c r="AQ55" s="255">
        <v>6.6340000000000003</v>
      </c>
      <c r="AR55" s="255">
        <v>9.2409999999999997</v>
      </c>
    </row>
    <row r="56" spans="1:44" s="255" customFormat="1">
      <c r="A56" s="254" t="s">
        <v>82</v>
      </c>
      <c r="B56" s="506">
        <f>AN59</f>
        <v>108.203</v>
      </c>
      <c r="C56" s="506">
        <f t="shared" ref="C56" si="14">AO59</f>
        <v>106.99</v>
      </c>
      <c r="D56" s="506">
        <f t="shared" ref="D56" si="15">AP59</f>
        <v>110.828</v>
      </c>
      <c r="E56" s="506">
        <f t="shared" ref="E56" si="16">AQ59</f>
        <v>104.47</v>
      </c>
      <c r="F56" s="506">
        <f t="shared" ref="F56" si="17">AR59</f>
        <v>103.473</v>
      </c>
      <c r="G56" s="527">
        <f>G58</f>
        <v>115.81275047939324</v>
      </c>
      <c r="H56" s="527">
        <f t="shared" ref="H56:AJ56" si="18">H58</f>
        <v>117.47819843405333</v>
      </c>
      <c r="I56" s="527">
        <f t="shared" si="18"/>
        <v>104.116144614042</v>
      </c>
      <c r="J56" s="527">
        <f t="shared" si="18"/>
        <v>105.67206241958509</v>
      </c>
      <c r="K56" s="527">
        <f t="shared" si="18"/>
        <v>103.48400495338778</v>
      </c>
      <c r="L56" s="527">
        <f t="shared" si="18"/>
        <v>105.78062444073515</v>
      </c>
      <c r="M56" s="527">
        <f t="shared" si="18"/>
        <v>106.98803984739888</v>
      </c>
      <c r="N56" s="527">
        <f t="shared" si="18"/>
        <v>107.89977222836404</v>
      </c>
      <c r="O56" s="527">
        <f t="shared" si="18"/>
        <v>108.5996414147646</v>
      </c>
      <c r="P56" s="527">
        <f t="shared" si="18"/>
        <v>109.13368334510838</v>
      </c>
      <c r="Q56" s="527">
        <f t="shared" si="18"/>
        <v>110.98479299150767</v>
      </c>
      <c r="R56" s="527">
        <f t="shared" si="18"/>
        <v>112.40701512100483</v>
      </c>
      <c r="S56" s="527">
        <f t="shared" si="18"/>
        <v>113.48826575893838</v>
      </c>
      <c r="T56" s="527">
        <f t="shared" si="18"/>
        <v>114.01042635187864</v>
      </c>
      <c r="U56" s="527">
        <f t="shared" si="18"/>
        <v>114.73712367183575</v>
      </c>
      <c r="V56" s="527">
        <f t="shared" si="18"/>
        <v>115.99007397470071</v>
      </c>
      <c r="W56" s="527">
        <f t="shared" si="18"/>
        <v>116.67136604902389</v>
      </c>
      <c r="X56" s="527">
        <f t="shared" si="18"/>
        <v>117.13462350488386</v>
      </c>
      <c r="Y56" s="527">
        <f t="shared" si="18"/>
        <v>118.52033029192074</v>
      </c>
      <c r="Z56" s="527">
        <f t="shared" si="18"/>
        <v>119.40956331171907</v>
      </c>
      <c r="AA56" s="527">
        <f t="shared" si="18"/>
        <v>119.59599526057656</v>
      </c>
      <c r="AB56" s="527">
        <f t="shared" si="18"/>
        <v>120.50334504553949</v>
      </c>
      <c r="AC56" s="527">
        <f t="shared" si="18"/>
        <v>120.99188629586659</v>
      </c>
      <c r="AD56" s="527">
        <f t="shared" si="18"/>
        <v>121.29328050375541</v>
      </c>
      <c r="AE56" s="527">
        <f t="shared" si="18"/>
        <v>121.73581544148823</v>
      </c>
      <c r="AF56" s="527">
        <f t="shared" si="18"/>
        <v>122.31567057491517</v>
      </c>
      <c r="AG56" s="527">
        <f t="shared" si="18"/>
        <v>123.15277008098047</v>
      </c>
      <c r="AH56" s="527">
        <f t="shared" si="18"/>
        <v>123.75465620947602</v>
      </c>
      <c r="AI56" s="527">
        <f t="shared" si="18"/>
        <v>125.06898250094684</v>
      </c>
      <c r="AJ56" s="527">
        <f t="shared" si="18"/>
        <v>126.01166771328846</v>
      </c>
      <c r="AK56"/>
      <c r="AM56" s="255" t="s">
        <v>379</v>
      </c>
      <c r="AN56" s="255">
        <v>84.51</v>
      </c>
      <c r="AO56" s="255">
        <v>82.56</v>
      </c>
      <c r="AP56" s="255">
        <v>82.575000000000003</v>
      </c>
      <c r="AQ56" s="255">
        <v>77.977000000000004</v>
      </c>
      <c r="AR56" s="255">
        <v>74.905000000000001</v>
      </c>
    </row>
    <row r="57" spans="1:44" s="255" customFormat="1">
      <c r="B57" s="488"/>
      <c r="C57" s="488"/>
      <c r="D57" s="488"/>
      <c r="E57" s="488"/>
      <c r="F57" s="488"/>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M57" s="255" t="s">
        <v>750</v>
      </c>
      <c r="AN57" s="255">
        <v>4.7E-2</v>
      </c>
      <c r="AO57" s="255">
        <v>4.4999999999999998E-2</v>
      </c>
      <c r="AP57" s="255">
        <v>4.9000000000000002E-2</v>
      </c>
      <c r="AQ57" s="255">
        <v>5.1999999999999998E-2</v>
      </c>
      <c r="AR57" s="255">
        <v>5.2999999999999999E-2</v>
      </c>
    </row>
    <row r="58" spans="1:44" s="255" customFormat="1">
      <c r="A58" s="254" t="s">
        <v>83</v>
      </c>
      <c r="B58" s="483">
        <f>SUM(B49:B52,B54,B55)</f>
        <v>107.806</v>
      </c>
      <c r="C58" s="483">
        <f t="shared" ref="C58:AJ58" si="19">SUM(C49:C52,C54,C55)</f>
        <v>106.61200000000001</v>
      </c>
      <c r="D58" s="483">
        <f t="shared" si="19"/>
        <v>110.50700000000001</v>
      </c>
      <c r="E58" s="483">
        <f t="shared" si="19"/>
        <v>104.173</v>
      </c>
      <c r="F58" s="483">
        <f t="shared" si="19"/>
        <v>103.12599999999999</v>
      </c>
      <c r="G58" s="483">
        <f t="shared" si="19"/>
        <v>115.81275047939324</v>
      </c>
      <c r="H58" s="483">
        <f t="shared" si="19"/>
        <v>117.47819843405333</v>
      </c>
      <c r="I58" s="483">
        <f t="shared" si="19"/>
        <v>104.116144614042</v>
      </c>
      <c r="J58" s="483">
        <f t="shared" si="19"/>
        <v>105.67206241958509</v>
      </c>
      <c r="K58" s="483">
        <f t="shared" si="19"/>
        <v>103.48400495338778</v>
      </c>
      <c r="L58" s="483">
        <f t="shared" si="19"/>
        <v>105.78062444073515</v>
      </c>
      <c r="M58" s="483">
        <f t="shared" si="19"/>
        <v>106.98803984739888</v>
      </c>
      <c r="N58" s="483">
        <f t="shared" si="19"/>
        <v>107.89977222836404</v>
      </c>
      <c r="O58" s="483">
        <f t="shared" si="19"/>
        <v>108.5996414147646</v>
      </c>
      <c r="P58" s="483">
        <f t="shared" si="19"/>
        <v>109.13368334510838</v>
      </c>
      <c r="Q58" s="483">
        <f t="shared" si="19"/>
        <v>110.98479299150767</v>
      </c>
      <c r="R58" s="483">
        <f t="shared" si="19"/>
        <v>112.40701512100483</v>
      </c>
      <c r="S58" s="483">
        <f t="shared" si="19"/>
        <v>113.48826575893838</v>
      </c>
      <c r="T58" s="483">
        <f t="shared" si="19"/>
        <v>114.01042635187864</v>
      </c>
      <c r="U58" s="483">
        <f t="shared" si="19"/>
        <v>114.73712367183575</v>
      </c>
      <c r="V58" s="483">
        <f t="shared" si="19"/>
        <v>115.99007397470071</v>
      </c>
      <c r="W58" s="483">
        <f t="shared" si="19"/>
        <v>116.67136604902389</v>
      </c>
      <c r="X58" s="483">
        <f t="shared" si="19"/>
        <v>117.13462350488386</v>
      </c>
      <c r="Y58" s="483">
        <f t="shared" si="19"/>
        <v>118.52033029192074</v>
      </c>
      <c r="Z58" s="483">
        <f t="shared" si="19"/>
        <v>119.40956331171907</v>
      </c>
      <c r="AA58" s="483">
        <f t="shared" si="19"/>
        <v>119.59599526057656</v>
      </c>
      <c r="AB58" s="483">
        <f t="shared" si="19"/>
        <v>120.50334504553949</v>
      </c>
      <c r="AC58" s="483">
        <f t="shared" si="19"/>
        <v>120.99188629586659</v>
      </c>
      <c r="AD58" s="483">
        <f t="shared" si="19"/>
        <v>121.29328050375541</v>
      </c>
      <c r="AE58" s="483">
        <f t="shared" si="19"/>
        <v>121.73581544148823</v>
      </c>
      <c r="AF58" s="483">
        <f t="shared" si="19"/>
        <v>122.31567057491517</v>
      </c>
      <c r="AG58" s="483">
        <f t="shared" si="19"/>
        <v>123.15277008098047</v>
      </c>
      <c r="AH58" s="483">
        <f t="shared" si="19"/>
        <v>123.75465620947602</v>
      </c>
      <c r="AI58" s="483">
        <f t="shared" si="19"/>
        <v>125.06898250094684</v>
      </c>
      <c r="AJ58" s="483">
        <f t="shared" si="19"/>
        <v>126.01166771328846</v>
      </c>
      <c r="AK58" s="490">
        <v>8.9999999999999993E-3</v>
      </c>
      <c r="AM58" s="255" t="s">
        <v>744</v>
      </c>
      <c r="AN58" s="255">
        <v>6.2E-2</v>
      </c>
      <c r="AO58" s="255">
        <v>6.2E-2</v>
      </c>
      <c r="AP58" s="255">
        <v>5.6000000000000001E-2</v>
      </c>
      <c r="AQ58" s="255">
        <v>5.8999999999999997E-2</v>
      </c>
      <c r="AR58" s="255">
        <v>6.2E-2</v>
      </c>
    </row>
    <row r="59" spans="1:44">
      <c r="A59" s="6" t="s">
        <v>84</v>
      </c>
      <c r="B59" s="366">
        <v>3906.17822265625</v>
      </c>
      <c r="C59" s="366">
        <v>4003.6083984375</v>
      </c>
      <c r="D59" s="366">
        <v>4006.09130859375</v>
      </c>
      <c r="E59" s="366">
        <v>3992.21752929688</v>
      </c>
      <c r="F59" s="366">
        <v>4046.56079101563</v>
      </c>
      <c r="G59" s="248">
        <v>3975.9853520000001</v>
      </c>
      <c r="H59" s="248">
        <v>3914.8715820000002</v>
      </c>
      <c r="I59" s="248">
        <v>3921.3237300000001</v>
      </c>
      <c r="J59" s="248">
        <v>3939.0678710000002</v>
      </c>
      <c r="K59" s="248">
        <v>4009.0505370000001</v>
      </c>
      <c r="L59" s="248">
        <v>4063.0170899999998</v>
      </c>
      <c r="M59" s="248">
        <v>4119.9077150000003</v>
      </c>
      <c r="N59" s="248">
        <v>4166.5869140000004</v>
      </c>
      <c r="O59" s="248">
        <v>4198.9038090000004</v>
      </c>
      <c r="P59" s="248">
        <v>4219.6909180000002</v>
      </c>
      <c r="Q59" s="248">
        <v>4252.6411129999997</v>
      </c>
      <c r="R59" s="248">
        <v>4292.3344729999999</v>
      </c>
      <c r="S59" s="248">
        <v>4339.8535160000001</v>
      </c>
      <c r="T59" s="248">
        <v>4382.0117190000001</v>
      </c>
      <c r="U59" s="248">
        <v>4415.9643550000001</v>
      </c>
      <c r="V59" s="248">
        <v>4450.7382809999999</v>
      </c>
      <c r="W59" s="248">
        <v>4486.6025390000004</v>
      </c>
      <c r="X59" s="248">
        <v>4519.0146480000003</v>
      </c>
      <c r="Y59" s="248">
        <v>4546.845703</v>
      </c>
      <c r="Z59" s="248">
        <v>4573.2431640000004</v>
      </c>
      <c r="AA59" s="248">
        <v>4595.8320309999999</v>
      </c>
      <c r="AB59" s="248">
        <v>4620.3847660000001</v>
      </c>
      <c r="AC59" s="248">
        <v>4650.2163090000004</v>
      </c>
      <c r="AD59" s="248">
        <v>4684.017578</v>
      </c>
      <c r="AE59" s="248">
        <v>4715.7373049999997</v>
      </c>
      <c r="AF59" s="248">
        <v>4746.6293949999999</v>
      </c>
      <c r="AG59" s="248">
        <v>4780.0688479999999</v>
      </c>
      <c r="AH59" s="248">
        <v>4817.2851559999999</v>
      </c>
      <c r="AI59" s="248">
        <v>4853.5073240000002</v>
      </c>
      <c r="AJ59" s="248">
        <v>4888.0634769999997</v>
      </c>
      <c r="AK59" s="249">
        <v>8.0000000000000002E-3</v>
      </c>
      <c r="AM59" s="5" t="s">
        <v>58</v>
      </c>
      <c r="AN59" s="5">
        <v>108.203</v>
      </c>
      <c r="AO59" s="5">
        <v>106.99</v>
      </c>
      <c r="AP59" s="5">
        <v>110.828</v>
      </c>
      <c r="AQ59" s="5">
        <v>104.47</v>
      </c>
      <c r="AR59" s="5">
        <v>103.473</v>
      </c>
    </row>
    <row r="60" spans="1:44" s="274" customFormat="1">
      <c r="A60" s="273" t="s">
        <v>331</v>
      </c>
      <c r="B60" s="367"/>
      <c r="C60" s="367"/>
      <c r="D60" s="367"/>
      <c r="E60" s="367">
        <f>E49/SUM(E49,E51)</f>
        <v>0.38449277597819942</v>
      </c>
      <c r="F60" s="367">
        <f t="shared" ref="F60:AJ60" si="20">F49/SUM(F49,F51)</f>
        <v>0.4514984644710367</v>
      </c>
      <c r="G60" s="324">
        <f t="shared" si="20"/>
        <v>0.41570211459528716</v>
      </c>
      <c r="H60" s="324">
        <f t="shared" si="20"/>
        <v>0.37329863620303549</v>
      </c>
      <c r="I60" s="324">
        <f t="shared" si="20"/>
        <v>0.30841808498853257</v>
      </c>
      <c r="J60" s="324">
        <f t="shared" si="20"/>
        <v>0.32092467824787096</v>
      </c>
      <c r="K60" s="324">
        <f t="shared" si="20"/>
        <v>0.44182668857228874</v>
      </c>
      <c r="L60" s="324">
        <f t="shared" si="20"/>
        <v>0.42127695109980123</v>
      </c>
      <c r="M60" s="324">
        <f t="shared" si="20"/>
        <v>0.43005860460334017</v>
      </c>
      <c r="N60" s="324">
        <f t="shared" si="20"/>
        <v>0.40754222320832389</v>
      </c>
      <c r="O60" s="324">
        <f t="shared" si="20"/>
        <v>0.39773538207553327</v>
      </c>
      <c r="P60" s="324">
        <f t="shared" si="20"/>
        <v>0.3878387272295068</v>
      </c>
      <c r="Q60" s="324">
        <f t="shared" si="20"/>
        <v>0.34849078660383676</v>
      </c>
      <c r="R60" s="324">
        <f t="shared" si="20"/>
        <v>0.32015719987196217</v>
      </c>
      <c r="S60" s="324">
        <f t="shared" si="20"/>
        <v>0.30537358176732676</v>
      </c>
      <c r="T60" s="324">
        <f t="shared" si="20"/>
        <v>0.29987296870579083</v>
      </c>
      <c r="U60" s="324">
        <f t="shared" si="20"/>
        <v>0.28953983965964125</v>
      </c>
      <c r="V60" s="324">
        <f t="shared" si="20"/>
        <v>0.27571208674325204</v>
      </c>
      <c r="W60" s="324">
        <f t="shared" si="20"/>
        <v>0.26829478994086492</v>
      </c>
      <c r="X60" s="324">
        <f t="shared" si="20"/>
        <v>0.26324134399221211</v>
      </c>
      <c r="Y60" s="324">
        <f t="shared" si="20"/>
        <v>0.25325924418954004</v>
      </c>
      <c r="Z60" s="324">
        <f t="shared" si="20"/>
        <v>0.24495573919202865</v>
      </c>
      <c r="AA60" s="324">
        <f t="shared" si="20"/>
        <v>0.24483773474740284</v>
      </c>
      <c r="AB60" s="324">
        <f t="shared" si="20"/>
        <v>0.23689102701066386</v>
      </c>
      <c r="AC60" s="324">
        <f t="shared" si="20"/>
        <v>0.23341992972077824</v>
      </c>
      <c r="AD60" s="324">
        <f t="shared" si="20"/>
        <v>0.23159399163673086</v>
      </c>
      <c r="AE60" s="324">
        <f t="shared" si="20"/>
        <v>0.22935063462264638</v>
      </c>
      <c r="AF60" s="324">
        <f t="shared" si="20"/>
        <v>0.23038311865564157</v>
      </c>
      <c r="AG60" s="324">
        <f t="shared" si="20"/>
        <v>0.2296144327433681</v>
      </c>
      <c r="AH60" s="324">
        <f t="shared" si="20"/>
        <v>0.22660067392188216</v>
      </c>
      <c r="AI60" s="324">
        <f t="shared" si="20"/>
        <v>0.22006068200212389</v>
      </c>
      <c r="AJ60" s="324">
        <f t="shared" si="20"/>
        <v>0.214502464580623</v>
      </c>
      <c r="AK60" s="324"/>
      <c r="AL60" s="274" t="s">
        <v>0</v>
      </c>
    </row>
    <row r="61" spans="1:44" s="265" customFormat="1">
      <c r="A61" s="262" t="s">
        <v>107</v>
      </c>
      <c r="B61" s="358">
        <f>B54/B58</f>
        <v>0.78390813127284198</v>
      </c>
      <c r="C61" s="358">
        <f t="shared" ref="C61:AJ61" si="21">C54/C58</f>
        <v>0.77439687840018001</v>
      </c>
      <c r="D61" s="358">
        <f t="shared" si="21"/>
        <v>0.74723773154641782</v>
      </c>
      <c r="E61" s="358">
        <f t="shared" si="21"/>
        <v>0.7485336891516996</v>
      </c>
      <c r="F61" s="358">
        <f t="shared" si="21"/>
        <v>0.72634447181118256</v>
      </c>
      <c r="G61" s="309">
        <f t="shared" si="21"/>
        <v>0.82571796920773766</v>
      </c>
      <c r="H61" s="309">
        <f t="shared" si="21"/>
        <v>0.77432745590584817</v>
      </c>
      <c r="I61" s="309">
        <f t="shared" si="21"/>
        <v>0.7404393868650011</v>
      </c>
      <c r="J61" s="309">
        <f t="shared" si="21"/>
        <v>0.7439549310433633</v>
      </c>
      <c r="K61" s="309">
        <f t="shared" si="21"/>
        <v>0.77561469761054724</v>
      </c>
      <c r="L61" s="309">
        <f t="shared" si="21"/>
        <v>0.77375371857793263</v>
      </c>
      <c r="M61" s="309">
        <f t="shared" si="21"/>
        <v>0.77499076678850165</v>
      </c>
      <c r="N61" s="309">
        <f t="shared" si="21"/>
        <v>0.76779209185099284</v>
      </c>
      <c r="O61" s="309">
        <f t="shared" si="21"/>
        <v>0.76577958437432214</v>
      </c>
      <c r="P61" s="309">
        <f t="shared" si="21"/>
        <v>0.76279348874947894</v>
      </c>
      <c r="Q61" s="309">
        <f t="shared" si="21"/>
        <v>0.75402251366811079</v>
      </c>
      <c r="R61" s="309">
        <f t="shared" si="21"/>
        <v>0.74451956881964532</v>
      </c>
      <c r="S61" s="309">
        <f t="shared" si="21"/>
        <v>0.7381507173783971</v>
      </c>
      <c r="T61" s="309">
        <f t="shared" si="21"/>
        <v>0.73590937437888382</v>
      </c>
      <c r="U61" s="309">
        <f t="shared" si="21"/>
        <v>0.73070359909646354</v>
      </c>
      <c r="V61" s="309">
        <f t="shared" si="21"/>
        <v>0.72449976856045983</v>
      </c>
      <c r="W61" s="309">
        <f t="shared" si="21"/>
        <v>0.72080875303053715</v>
      </c>
      <c r="X61" s="309">
        <f t="shared" si="21"/>
        <v>0.71823607245223076</v>
      </c>
      <c r="Y61" s="309">
        <f t="shared" si="21"/>
        <v>0.71351225128956763</v>
      </c>
      <c r="Z61" s="309">
        <f t="shared" si="21"/>
        <v>0.7086075100584307</v>
      </c>
      <c r="AA61" s="309">
        <f t="shared" si="21"/>
        <v>0.70922820543106702</v>
      </c>
      <c r="AB61" s="309">
        <f t="shared" si="21"/>
        <v>0.70487282975622956</v>
      </c>
      <c r="AC61" s="309">
        <f t="shared" si="21"/>
        <v>0.70298391617713474</v>
      </c>
      <c r="AD61" s="309">
        <f t="shared" si="21"/>
        <v>0.70218252049010976</v>
      </c>
      <c r="AE61" s="309">
        <f t="shared" si="21"/>
        <v>0.70122565621874078</v>
      </c>
      <c r="AF61" s="309">
        <f t="shared" si="21"/>
        <v>0.70380808410637719</v>
      </c>
      <c r="AG61" s="309">
        <f t="shared" si="21"/>
        <v>0.70536330815564641</v>
      </c>
      <c r="AH61" s="309">
        <f t="shared" si="21"/>
        <v>0.7040528238766699</v>
      </c>
      <c r="AI61" s="309">
        <f t="shared" si="21"/>
        <v>0.70066336852393662</v>
      </c>
      <c r="AJ61" s="309">
        <f t="shared" si="21"/>
        <v>0.6971815276437382</v>
      </c>
      <c r="AK61" s="309"/>
    </row>
    <row r="62" spans="1:44" s="275" customFormat="1">
      <c r="A62" s="264" t="s">
        <v>108</v>
      </c>
      <c r="B62" s="368">
        <f>(B54-EIA_RE_aeo2014!B73)/B56</f>
        <v>2.3123203608033136E-2</v>
      </c>
      <c r="C62" s="368">
        <f>(C54-EIA_RE_aeo2014!C73)/C56</f>
        <v>3.4872417982989151E-2</v>
      </c>
      <c r="D62" s="368">
        <f>(D54-EIA_RE_aeo2014!D73)/D56</f>
        <v>4.4555527484029328E-2</v>
      </c>
      <c r="E62" s="368">
        <f>(E54-EIA_RE_aeo2014!E73)/E56</f>
        <v>4.8281803388532565E-2</v>
      </c>
      <c r="F62" s="368">
        <f>(F54-EIA_RE_aeo2014!F73)/F56</f>
        <v>6.3949049510500372E-2</v>
      </c>
      <c r="G62" s="325">
        <f>(G54-EIA_RE_aeo2014!G73)/G56</f>
        <v>5.531735717948378E-2</v>
      </c>
      <c r="H62" s="325">
        <f>(H54-EIA_RE_aeo2014!H73)/H56</f>
        <v>6.0433160896898451E-2</v>
      </c>
      <c r="I62" s="325">
        <f>(I54-EIA_RE_aeo2014!I73)/I56</f>
        <v>7.7978476449214115E-2</v>
      </c>
      <c r="J62" s="325">
        <f>(J54-EIA_RE_aeo2014!J73)/J56</f>
        <v>7.7365177449751313E-2</v>
      </c>
      <c r="K62" s="325">
        <f>(K54-EIA_RE_aeo2014!K73)/K56</f>
        <v>8.3716675957337144E-2</v>
      </c>
      <c r="L62" s="325">
        <f>(L54-EIA_RE_aeo2014!L73)/L56</f>
        <v>8.4924318248353656E-2</v>
      </c>
      <c r="M62" s="325">
        <f>(M54-EIA_RE_aeo2014!M73)/M56</f>
        <v>8.5625640974458336E-2</v>
      </c>
      <c r="N62" s="325">
        <f>(N54-EIA_RE_aeo2014!N73)/N56</f>
        <v>8.7182603681052503E-2</v>
      </c>
      <c r="O62" s="325">
        <f>(O54-EIA_RE_aeo2014!O73)/O56</f>
        <v>8.9556053676587963E-2</v>
      </c>
      <c r="P62" s="325">
        <f>(P54-EIA_RE_aeo2014!P73)/P56</f>
        <v>8.9879256415070732E-2</v>
      </c>
      <c r="Q62" s="325">
        <f>(Q54-EIA_RE_aeo2014!Q73)/Q56</f>
        <v>8.8909818853710784E-2</v>
      </c>
      <c r="R62" s="325">
        <f>(R54-EIA_RE_aeo2014!R73)/R56</f>
        <v>8.7822382522718234E-2</v>
      </c>
      <c r="S62" s="325">
        <f>(S54-EIA_RE_aeo2014!S73)/S56</f>
        <v>8.771023521615974E-2</v>
      </c>
      <c r="T62" s="325">
        <f>(T54-EIA_RE_aeo2014!T73)/T56</f>
        <v>8.8447868777877248E-2</v>
      </c>
      <c r="U62" s="325">
        <f>(U54-EIA_RE_aeo2014!U73)/U56</f>
        <v>8.734284594451934E-2</v>
      </c>
      <c r="V62" s="325">
        <f>(V54-EIA_RE_aeo2014!V73)/V56</f>
        <v>8.8088815705125362E-2</v>
      </c>
      <c r="W62" s="325">
        <f>(W54-EIA_RE_aeo2014!W73)/W56</f>
        <v>8.8114065381274004E-2</v>
      </c>
      <c r="X62" s="325">
        <f>(X54-EIA_RE_aeo2014!X73)/X56</f>
        <v>8.8043638385780429E-2</v>
      </c>
      <c r="Y62" s="325">
        <f>(Y54-EIA_RE_aeo2014!Y73)/Y56</f>
        <v>8.6925829220995621E-2</v>
      </c>
      <c r="Z62" s="325">
        <f>(Z54-EIA_RE_aeo2014!Z73)/Z56</f>
        <v>8.6687224610810423E-2</v>
      </c>
      <c r="AA62" s="325">
        <f>(AA54-EIA_RE_aeo2014!AK73)/AA56</f>
        <v>0.70922820543106702</v>
      </c>
      <c r="AB62" s="325">
        <f>(AB54-EIA_RE_aeo2014!AL73)/AB56</f>
        <v>0.70487282975622956</v>
      </c>
      <c r="AC62" s="325">
        <f>(AC54-EIA_RE_aeo2014!AM73)/AC56</f>
        <v>0.70298391617713474</v>
      </c>
      <c r="AD62" s="325">
        <f>(AD54-EIA_RE_aeo2014!AN73)/AD56</f>
        <v>2.6069221720348933E-2</v>
      </c>
      <c r="AE62" s="325">
        <f>(AE54-EIA_RE_aeo2014!AO73)/AE56</f>
        <v>5.368409489500036E-2</v>
      </c>
      <c r="AF62" s="325">
        <f>(AF54-EIA_RE_aeo2014!AP73)/AF56</f>
        <v>6.9081563497152776E-2</v>
      </c>
      <c r="AG62" s="325">
        <f>(AG54-EIA_RE_aeo2014!AQ73)/AG56</f>
        <v>0.11314764015205944</v>
      </c>
      <c r="AH62" s="325">
        <f>(AH54-EIA_RE_aeo2014!AR73)/AH56</f>
        <v>0.15225136370040934</v>
      </c>
      <c r="AI62" s="325">
        <f>(AI54-EIA_RE_aeo2014!AS73)/AI56</f>
        <v>0.70066336852393662</v>
      </c>
      <c r="AJ62" s="325">
        <f>(AJ54-EIA_RE_aeo2014!AT73)/AJ56</f>
        <v>0.6971815276437382</v>
      </c>
      <c r="AK62" s="325"/>
    </row>
    <row r="63" spans="1:44" s="475" customFormat="1">
      <c r="A63" s="475" t="s">
        <v>109</v>
      </c>
      <c r="C63" s="476"/>
      <c r="D63" s="476"/>
      <c r="E63" s="476"/>
      <c r="F63" s="476">
        <v>42094.619140625</v>
      </c>
      <c r="G63" s="477">
        <v>102605.04540000002</v>
      </c>
      <c r="H63" s="477">
        <v>163360.96875</v>
      </c>
      <c r="I63" s="477">
        <v>225974.68357199998</v>
      </c>
      <c r="J63" s="477">
        <v>289591.77345600002</v>
      </c>
      <c r="K63" s="477">
        <v>358569.27243000007</v>
      </c>
      <c r="L63" s="477">
        <v>428005.66654200002</v>
      </c>
      <c r="M63" s="477">
        <v>499509.19281199999</v>
      </c>
      <c r="N63" s="477">
        <v>571413.594774</v>
      </c>
      <c r="O63" s="477">
        <v>642582.21966400009</v>
      </c>
      <c r="P63" s="477">
        <v>712804.27253000019</v>
      </c>
      <c r="Q63" s="477">
        <v>785931.55672200024</v>
      </c>
      <c r="R63" s="477">
        <v>861455.63087200013</v>
      </c>
      <c r="S63" s="477">
        <v>939930.84375000035</v>
      </c>
      <c r="T63" s="477">
        <v>1018634.9062500005</v>
      </c>
      <c r="U63" s="477">
        <v>1096613.15925</v>
      </c>
      <c r="V63" s="478"/>
      <c r="W63" s="478"/>
      <c r="X63" s="478"/>
      <c r="Y63" s="478"/>
      <c r="Z63" s="478"/>
      <c r="AA63" s="478"/>
      <c r="AB63" s="478"/>
      <c r="AC63" s="478"/>
      <c r="AD63" s="478"/>
      <c r="AE63" s="478"/>
      <c r="AF63" s="478"/>
      <c r="AG63" s="478"/>
      <c r="AH63" s="478"/>
      <c r="AI63" s="478"/>
      <c r="AJ63" s="478"/>
      <c r="AK63" s="478"/>
    </row>
    <row r="64" spans="1:44" s="479" customFormat="1">
      <c r="A64" s="479" t="s">
        <v>110</v>
      </c>
      <c r="C64" s="480"/>
      <c r="D64" s="480"/>
      <c r="E64" s="480"/>
      <c r="F64" s="480"/>
      <c r="G64" s="481">
        <f>G63/1000/G58</f>
        <v>0.88595638196380377</v>
      </c>
      <c r="H64" s="481">
        <f t="shared" ref="H64:O64" si="22">H63/1000/H58</f>
        <v>1.3905641295793543</v>
      </c>
      <c r="I64" s="481">
        <f t="shared" si="22"/>
        <v>2.1704096363699112</v>
      </c>
      <c r="J64" s="481">
        <f t="shared" si="22"/>
        <v>2.7404762131559148</v>
      </c>
      <c r="K64" s="481">
        <f t="shared" si="22"/>
        <v>3.4649728969371658</v>
      </c>
      <c r="L64" s="481">
        <f t="shared" si="22"/>
        <v>4.0461631683956947</v>
      </c>
      <c r="M64" s="481">
        <f t="shared" si="22"/>
        <v>4.6688320818333429</v>
      </c>
      <c r="N64" s="481">
        <f t="shared" si="22"/>
        <v>5.2957812882554931</v>
      </c>
      <c r="O64" s="481">
        <f t="shared" si="22"/>
        <v>5.9169828858812243</v>
      </c>
      <c r="P64" s="481">
        <f t="shared" ref="P64" si="23">P63/1000/P58</f>
        <v>6.5314781896981549</v>
      </c>
      <c r="Q64" s="481">
        <f t="shared" ref="Q64" si="24">Q63/1000/Q58</f>
        <v>7.0814346320593495</v>
      </c>
      <c r="R64" s="481">
        <f t="shared" ref="R64" si="25">R63/1000/R58</f>
        <v>7.6637176954183266</v>
      </c>
      <c r="S64" s="481">
        <f t="shared" ref="S64" si="26">S63/1000/S58</f>
        <v>8.2821852767273523</v>
      </c>
      <c r="T64" s="481">
        <f t="shared" ref="T64" si="27">T63/1000/T58</f>
        <v>8.9345767649891403</v>
      </c>
      <c r="U64" s="481">
        <f t="shared" ref="U64" si="28">U63/1000/U58</f>
        <v>9.5576141719088881</v>
      </c>
      <c r="V64" s="481"/>
      <c r="W64" s="481"/>
      <c r="X64" s="481"/>
      <c r="Y64" s="481"/>
      <c r="Z64" s="481"/>
      <c r="AA64" s="481"/>
      <c r="AB64" s="481"/>
      <c r="AC64" s="481"/>
      <c r="AD64" s="481"/>
      <c r="AE64" s="481"/>
      <c r="AF64" s="481"/>
      <c r="AG64" s="481"/>
      <c r="AH64" s="481"/>
      <c r="AI64" s="481"/>
      <c r="AJ64" s="481"/>
      <c r="AK64" s="481"/>
    </row>
    <row r="65" spans="1:38" s="479" customFormat="1">
      <c r="A65" s="479" t="s">
        <v>113</v>
      </c>
      <c r="D65" s="480"/>
      <c r="E65" s="480"/>
      <c r="F65" s="480"/>
      <c r="G65" s="481"/>
      <c r="H65" s="481">
        <f t="shared" ref="H65:U65" si="29">(H64-G64)/G64</f>
        <v>0.56956274359358527</v>
      </c>
      <c r="I65" s="481">
        <f t="shared" si="29"/>
        <v>0.56081232803442171</v>
      </c>
      <c r="J65" s="481">
        <f t="shared" si="29"/>
        <v>0.26265390976583602</v>
      </c>
      <c r="K65" s="481">
        <f t="shared" si="29"/>
        <v>0.26436890066888236</v>
      </c>
      <c r="L65" s="481">
        <f t="shared" si="29"/>
        <v>0.16773299207398337</v>
      </c>
      <c r="M65" s="481">
        <f t="shared" si="29"/>
        <v>0.1538912019913761</v>
      </c>
      <c r="N65" s="481">
        <f t="shared" si="29"/>
        <v>0.1342839484122037</v>
      </c>
      <c r="O65" s="481">
        <f t="shared" si="29"/>
        <v>0.11730121842519747</v>
      </c>
      <c r="P65" s="481">
        <f t="shared" si="29"/>
        <v>0.10385281074298948</v>
      </c>
      <c r="Q65" s="481">
        <f t="shared" si="29"/>
        <v>8.420091538062846E-2</v>
      </c>
      <c r="R65" s="481">
        <f t="shared" si="29"/>
        <v>8.2226708797514314E-2</v>
      </c>
      <c r="S65" s="481">
        <f t="shared" si="29"/>
        <v>8.0700725925587011E-2</v>
      </c>
      <c r="T65" s="481">
        <f t="shared" si="29"/>
        <v>7.8770453263703855E-2</v>
      </c>
      <c r="U65" s="481">
        <f t="shared" si="29"/>
        <v>6.9733287127955526E-2</v>
      </c>
      <c r="V65" s="481"/>
      <c r="W65" s="481"/>
      <c r="X65" s="481"/>
      <c r="Y65" s="481"/>
      <c r="Z65" s="481"/>
      <c r="AA65" s="481"/>
      <c r="AB65" s="481"/>
      <c r="AC65" s="481"/>
      <c r="AD65" s="481"/>
      <c r="AE65" s="481"/>
      <c r="AF65" s="481"/>
      <c r="AG65" s="481"/>
      <c r="AH65" s="481"/>
      <c r="AI65" s="481"/>
      <c r="AJ65" s="481"/>
      <c r="AK65" s="481"/>
    </row>
    <row r="66" spans="1:38" s="265" customFormat="1">
      <c r="A66" s="265" t="s">
        <v>129</v>
      </c>
      <c r="B66" s="369">
        <f>B52/B58</f>
        <v>8.6525796337866168E-2</v>
      </c>
      <c r="C66" s="369">
        <f t="shared" ref="C66:AJ66" si="30">C52/C58</f>
        <v>7.6060856188796752E-2</v>
      </c>
      <c r="D66" s="369">
        <f t="shared" si="30"/>
        <v>8.3886088664066522E-2</v>
      </c>
      <c r="E66" s="369">
        <f t="shared" si="30"/>
        <v>6.3682528102291386E-2</v>
      </c>
      <c r="F66" s="369">
        <f t="shared" si="30"/>
        <v>8.9608828035606936E-2</v>
      </c>
      <c r="G66" s="326">
        <f t="shared" si="30"/>
        <v>4.1498021419110839E-2</v>
      </c>
      <c r="H66" s="326">
        <f t="shared" si="30"/>
        <v>7.9453040005883838E-2</v>
      </c>
      <c r="I66" s="326">
        <f t="shared" si="30"/>
        <v>7.4973521435476032E-2</v>
      </c>
      <c r="J66" s="326">
        <f t="shared" si="30"/>
        <v>7.4530020704321201E-2</v>
      </c>
      <c r="K66" s="326">
        <f t="shared" si="30"/>
        <v>7.8417848281531338E-2</v>
      </c>
      <c r="L66" s="326">
        <f t="shared" si="30"/>
        <v>7.7375067913175541E-2</v>
      </c>
      <c r="M66" s="326">
        <f t="shared" si="30"/>
        <v>7.6501850222457271E-2</v>
      </c>
      <c r="N66" s="326">
        <f t="shared" si="30"/>
        <v>7.5855424260556803E-2</v>
      </c>
      <c r="O66" s="326">
        <f t="shared" si="30"/>
        <v>7.5366574818977641E-2</v>
      </c>
      <c r="P66" s="326">
        <f t="shared" si="30"/>
        <v>7.4997771074193836E-2</v>
      </c>
      <c r="Q66" s="326">
        <f t="shared" si="30"/>
        <v>7.3746887112960444E-2</v>
      </c>
      <c r="R66" s="326">
        <f t="shared" si="30"/>
        <v>7.2813809629133697E-2</v>
      </c>
      <c r="S66" s="326">
        <f t="shared" si="30"/>
        <v>7.2120081712988574E-2</v>
      </c>
      <c r="T66" s="326">
        <f t="shared" si="30"/>
        <v>7.1789776267818795E-2</v>
      </c>
      <c r="U66" s="326">
        <f t="shared" si="30"/>
        <v>7.133508962112059E-2</v>
      </c>
      <c r="V66" s="326">
        <f t="shared" si="30"/>
        <v>7.056451228563948E-2</v>
      </c>
      <c r="W66" s="326">
        <f t="shared" si="30"/>
        <v>7.0152457086693001E-2</v>
      </c>
      <c r="X66" s="326">
        <f t="shared" si="30"/>
        <v>6.9875010096043369E-2</v>
      </c>
      <c r="Y66" s="326">
        <f t="shared" si="30"/>
        <v>6.9058050883257935E-2</v>
      </c>
      <c r="Z66" s="326">
        <f t="shared" si="30"/>
        <v>6.8543781360573236E-2</v>
      </c>
      <c r="AA66" s="326">
        <f t="shared" si="30"/>
        <v>6.8436932040800688E-2</v>
      </c>
      <c r="AB66" s="326">
        <f t="shared" si="30"/>
        <v>6.7921624888561252E-2</v>
      </c>
      <c r="AC66" s="326">
        <f t="shared" si="30"/>
        <v>6.764737083266395E-2</v>
      </c>
      <c r="AD66" s="326">
        <f t="shared" si="30"/>
        <v>6.7479278044150076E-2</v>
      </c>
      <c r="AE66" s="326">
        <f t="shared" si="30"/>
        <v>6.7233976872927578E-2</v>
      </c>
      <c r="AF66" s="326">
        <f t="shared" si="30"/>
        <v>6.6915244477910391E-2</v>
      </c>
      <c r="AG66" s="326">
        <f t="shared" si="30"/>
        <v>6.6460405191194685E-2</v>
      </c>
      <c r="AH66" s="326">
        <f t="shared" si="30"/>
        <v>6.6137172133110267E-2</v>
      </c>
      <c r="AI66" s="326">
        <f t="shared" si="30"/>
        <v>6.5442149095104665E-2</v>
      </c>
      <c r="AJ66" s="326">
        <f t="shared" si="30"/>
        <v>6.4952580570734567E-2</v>
      </c>
      <c r="AK66" s="326"/>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593</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593</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631</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630</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64" t="s">
        <v>632</v>
      </c>
      <c r="B109" s="564"/>
      <c r="C109" s="564"/>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564"/>
      <c r="AD109" s="564"/>
      <c r="AE109" s="564"/>
      <c r="AF109" s="564"/>
    </row>
    <row r="110" spans="1:38">
      <c r="A110" s="565" t="s">
        <v>633</v>
      </c>
      <c r="B110" s="565"/>
      <c r="C110" s="565"/>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row>
    <row r="111" spans="1:38">
      <c r="A111" s="565" t="s">
        <v>634</v>
      </c>
      <c r="B111" s="565"/>
      <c r="C111" s="565"/>
      <c r="D111" s="565"/>
      <c r="E111" s="565"/>
      <c r="F111" s="565"/>
      <c r="G111" s="565"/>
      <c r="H111" s="565"/>
      <c r="I111" s="565"/>
      <c r="J111" s="565"/>
      <c r="K111" s="565"/>
      <c r="L111" s="565"/>
      <c r="M111" s="565"/>
      <c r="N111" s="565"/>
      <c r="O111" s="565"/>
      <c r="P111" s="565"/>
      <c r="Q111" s="565"/>
      <c r="R111" s="565"/>
      <c r="S111" s="565"/>
      <c r="T111" s="565"/>
      <c r="U111" s="565"/>
      <c r="V111" s="565"/>
      <c r="W111" s="565"/>
      <c r="X111" s="565"/>
      <c r="Y111" s="565"/>
      <c r="Z111" s="565"/>
      <c r="AA111" s="565"/>
      <c r="AB111" s="565"/>
      <c r="AC111" s="565"/>
      <c r="AD111" s="565"/>
      <c r="AE111" s="565"/>
      <c r="AF111" s="565"/>
    </row>
    <row r="112" spans="1:38">
      <c r="A112" s="565" t="s">
        <v>635</v>
      </c>
      <c r="B112" s="565"/>
      <c r="C112" s="565"/>
      <c r="D112" s="565"/>
      <c r="E112" s="565"/>
      <c r="F112" s="565"/>
      <c r="G112" s="565"/>
      <c r="H112" s="565"/>
      <c r="I112" s="565"/>
      <c r="J112" s="565"/>
      <c r="K112" s="565"/>
      <c r="L112" s="565"/>
      <c r="M112" s="565"/>
      <c r="N112" s="565"/>
      <c r="O112" s="565"/>
      <c r="P112" s="565"/>
      <c r="Q112" s="565"/>
      <c r="R112" s="565"/>
      <c r="S112" s="565"/>
      <c r="T112" s="565"/>
      <c r="U112" s="565"/>
      <c r="V112" s="565"/>
      <c r="W112" s="565"/>
      <c r="X112" s="565"/>
      <c r="Y112" s="565"/>
      <c r="Z112" s="565"/>
      <c r="AA112" s="565"/>
      <c r="AB112" s="565"/>
      <c r="AC112" s="565"/>
      <c r="AD112" s="565"/>
      <c r="AE112" s="565"/>
      <c r="AF112" s="565"/>
    </row>
    <row r="113" spans="1:32">
      <c r="A113" s="565" t="s">
        <v>636</v>
      </c>
      <c r="B113" s="565"/>
      <c r="C113" s="565"/>
      <c r="D113" s="565"/>
      <c r="E113" s="565"/>
      <c r="F113" s="565"/>
      <c r="G113" s="565"/>
      <c r="H113" s="565"/>
      <c r="I113" s="565"/>
      <c r="J113" s="565"/>
      <c r="K113" s="565"/>
      <c r="L113" s="565"/>
      <c r="M113" s="565"/>
      <c r="N113" s="565"/>
      <c r="O113" s="565"/>
      <c r="P113" s="565"/>
      <c r="Q113" s="565"/>
      <c r="R113" s="565"/>
      <c r="S113" s="565"/>
      <c r="T113" s="565"/>
      <c r="U113" s="565"/>
      <c r="V113" s="565"/>
      <c r="W113" s="565"/>
      <c r="X113" s="565"/>
      <c r="Y113" s="565"/>
      <c r="Z113" s="565"/>
      <c r="AA113" s="565"/>
      <c r="AB113" s="565"/>
      <c r="AC113" s="565"/>
      <c r="AD113" s="565"/>
      <c r="AE113" s="565"/>
      <c r="AF113" s="565"/>
    </row>
    <row r="114" spans="1:32">
      <c r="A114" s="565" t="s">
        <v>637</v>
      </c>
      <c r="B114" s="565"/>
      <c r="C114" s="565"/>
      <c r="D114" s="565"/>
      <c r="E114" s="565"/>
      <c r="F114" s="565"/>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row>
    <row r="115" spans="1:32">
      <c r="A115" s="565" t="s">
        <v>638</v>
      </c>
      <c r="B115" s="565"/>
      <c r="C115" s="565"/>
      <c r="D115" s="565"/>
      <c r="E115" s="565"/>
      <c r="F115" s="565"/>
      <c r="G115" s="565"/>
      <c r="H115" s="565"/>
      <c r="I115" s="565"/>
      <c r="J115" s="565"/>
      <c r="K115" s="565"/>
      <c r="L115" s="565"/>
      <c r="M115" s="565"/>
      <c r="N115" s="565"/>
      <c r="O115" s="565"/>
      <c r="P115" s="565"/>
      <c r="Q115" s="565"/>
      <c r="R115" s="565"/>
      <c r="S115" s="565"/>
      <c r="T115" s="565"/>
      <c r="U115" s="565"/>
      <c r="V115" s="565"/>
      <c r="W115" s="565"/>
      <c r="X115" s="565"/>
      <c r="Y115" s="565"/>
      <c r="Z115" s="565"/>
      <c r="AA115" s="565"/>
      <c r="AB115" s="565"/>
      <c r="AC115" s="565"/>
      <c r="AD115" s="565"/>
      <c r="AE115" s="565"/>
      <c r="AF115" s="565"/>
    </row>
    <row r="116" spans="1:32">
      <c r="A116" s="565" t="s">
        <v>639</v>
      </c>
      <c r="B116" s="565"/>
      <c r="C116" s="565"/>
      <c r="D116" s="565"/>
      <c r="E116" s="565"/>
      <c r="F116" s="565"/>
      <c r="G116" s="565"/>
      <c r="H116" s="565"/>
      <c r="I116" s="565"/>
      <c r="J116" s="565"/>
      <c r="K116" s="565"/>
      <c r="L116" s="565"/>
      <c r="M116" s="565"/>
      <c r="N116" s="565"/>
      <c r="O116" s="565"/>
      <c r="P116" s="565"/>
      <c r="Q116" s="565"/>
      <c r="R116" s="565"/>
      <c r="S116" s="565"/>
      <c r="T116" s="565"/>
      <c r="U116" s="565"/>
      <c r="V116" s="565"/>
      <c r="W116" s="565"/>
      <c r="X116" s="565"/>
      <c r="Y116" s="565"/>
      <c r="Z116" s="565"/>
      <c r="AA116" s="565"/>
      <c r="AB116" s="565"/>
      <c r="AC116" s="565"/>
      <c r="AD116" s="565"/>
      <c r="AE116" s="565"/>
      <c r="AF116" s="565"/>
    </row>
    <row r="117" spans="1:32">
      <c r="A117" s="565" t="s">
        <v>640</v>
      </c>
      <c r="B117" s="565"/>
      <c r="C117" s="565"/>
      <c r="D117" s="565"/>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row>
    <row r="118" spans="1:32">
      <c r="A118" s="565" t="s">
        <v>641</v>
      </c>
      <c r="B118" s="565"/>
      <c r="C118" s="565"/>
      <c r="D118" s="565"/>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row>
    <row r="119" spans="1:32">
      <c r="A119" s="565" t="s">
        <v>642</v>
      </c>
      <c r="B119" s="565"/>
      <c r="C119" s="565"/>
      <c r="D119" s="565"/>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row>
    <row r="120" spans="1:32">
      <c r="A120" s="565" t="s">
        <v>643</v>
      </c>
      <c r="B120" s="565"/>
      <c r="C120" s="565"/>
      <c r="D120" s="565"/>
      <c r="E120" s="565"/>
      <c r="F120" s="565"/>
      <c r="G120" s="565"/>
      <c r="H120" s="565"/>
      <c r="I120" s="565"/>
      <c r="J120" s="565"/>
      <c r="K120" s="565"/>
      <c r="L120" s="565"/>
      <c r="M120" s="565"/>
      <c r="N120" s="565"/>
      <c r="O120" s="565"/>
      <c r="P120" s="565"/>
      <c r="Q120" s="565"/>
      <c r="R120" s="565"/>
      <c r="S120" s="565"/>
      <c r="T120" s="565"/>
      <c r="U120" s="565"/>
      <c r="V120" s="565"/>
      <c r="W120" s="565"/>
      <c r="X120" s="565"/>
      <c r="Y120" s="565"/>
      <c r="Z120" s="565"/>
      <c r="AA120" s="565"/>
      <c r="AB120" s="565"/>
      <c r="AC120" s="565"/>
      <c r="AD120" s="565"/>
      <c r="AE120" s="565"/>
      <c r="AF120" s="565"/>
    </row>
    <row r="121" spans="1:32">
      <c r="A121" s="565" t="s">
        <v>644</v>
      </c>
      <c r="B121" s="565"/>
      <c r="C121" s="565"/>
      <c r="D121" s="565"/>
      <c r="E121" s="565"/>
      <c r="F121" s="565"/>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row>
    <row r="122" spans="1:32">
      <c r="A122" s="565" t="s">
        <v>645</v>
      </c>
      <c r="B122" s="565"/>
      <c r="C122" s="565"/>
      <c r="D122" s="565"/>
      <c r="E122" s="565"/>
      <c r="F122" s="565"/>
      <c r="G122" s="565"/>
      <c r="H122" s="565"/>
      <c r="I122" s="565"/>
      <c r="J122" s="565"/>
      <c r="K122" s="565"/>
      <c r="L122" s="565"/>
      <c r="M122" s="565"/>
      <c r="N122" s="565"/>
      <c r="O122" s="565"/>
      <c r="P122" s="565"/>
      <c r="Q122" s="565"/>
      <c r="R122" s="565"/>
      <c r="S122" s="565"/>
      <c r="T122" s="565"/>
      <c r="U122" s="565"/>
      <c r="V122" s="565"/>
      <c r="W122" s="565"/>
      <c r="X122" s="565"/>
      <c r="Y122" s="565"/>
      <c r="Z122" s="565"/>
      <c r="AA122" s="565"/>
      <c r="AB122" s="565"/>
      <c r="AC122" s="565"/>
      <c r="AD122" s="565"/>
      <c r="AE122" s="565"/>
      <c r="AF122" s="565"/>
    </row>
    <row r="123" spans="1:32">
      <c r="A123" s="565" t="s">
        <v>646</v>
      </c>
      <c r="B123" s="565"/>
      <c r="C123" s="565"/>
      <c r="D123" s="565"/>
      <c r="E123" s="565"/>
      <c r="F123" s="565"/>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row>
    <row r="124" spans="1:32">
      <c r="A124" s="565" t="s">
        <v>647</v>
      </c>
      <c r="B124" s="565"/>
      <c r="C124" s="565"/>
      <c r="D124" s="565"/>
      <c r="E124" s="565"/>
      <c r="F124" s="565"/>
      <c r="G124" s="565"/>
      <c r="H124" s="565"/>
      <c r="I124" s="565"/>
      <c r="J124" s="565"/>
      <c r="K124" s="565"/>
      <c r="L124" s="565"/>
      <c r="M124" s="565"/>
      <c r="N124" s="565"/>
      <c r="O124" s="565"/>
      <c r="P124" s="565"/>
      <c r="Q124" s="565"/>
      <c r="R124" s="565"/>
      <c r="S124" s="565"/>
      <c r="T124" s="565"/>
      <c r="U124" s="565"/>
      <c r="V124" s="565"/>
      <c r="W124" s="565"/>
      <c r="X124" s="565"/>
      <c r="Y124" s="565"/>
      <c r="Z124" s="565"/>
      <c r="AA124" s="565"/>
      <c r="AB124" s="565"/>
      <c r="AC124" s="565"/>
      <c r="AD124" s="565"/>
      <c r="AE124" s="565"/>
      <c r="AF124" s="565"/>
    </row>
    <row r="125" spans="1:32">
      <c r="A125" s="565" t="s">
        <v>640</v>
      </c>
      <c r="B125" s="565"/>
      <c r="C125" s="565"/>
      <c r="D125" s="565"/>
      <c r="E125" s="565"/>
      <c r="F125" s="565"/>
      <c r="G125" s="565"/>
      <c r="H125" s="565"/>
      <c r="I125" s="565"/>
      <c r="J125" s="565"/>
      <c r="K125" s="565"/>
      <c r="L125" s="565"/>
      <c r="M125" s="565"/>
      <c r="N125" s="565"/>
      <c r="O125" s="565"/>
      <c r="P125" s="565"/>
      <c r="Q125" s="565"/>
      <c r="R125" s="565"/>
      <c r="S125" s="565"/>
      <c r="T125" s="565"/>
      <c r="U125" s="565"/>
      <c r="V125" s="565"/>
      <c r="W125" s="565"/>
      <c r="X125" s="565"/>
      <c r="Y125" s="565"/>
      <c r="Z125" s="565"/>
      <c r="AA125" s="565"/>
      <c r="AB125" s="565"/>
      <c r="AC125" s="565"/>
      <c r="AD125" s="565"/>
      <c r="AE125" s="565"/>
      <c r="AF125" s="565"/>
    </row>
    <row r="126" spans="1:32">
      <c r="A126" s="565" t="s">
        <v>648</v>
      </c>
      <c r="B126" s="565"/>
      <c r="C126" s="565"/>
      <c r="D126" s="565"/>
      <c r="E126" s="565"/>
      <c r="F126" s="565"/>
      <c r="G126" s="565"/>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row>
    <row r="127" spans="1:32">
      <c r="A127" s="565" t="s">
        <v>649</v>
      </c>
      <c r="B127" s="565"/>
      <c r="C127" s="565"/>
      <c r="D127" s="565"/>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row>
    <row r="128" spans="1:32">
      <c r="A128" s="565" t="s">
        <v>650</v>
      </c>
      <c r="B128" s="565"/>
      <c r="C128" s="565"/>
      <c r="D128" s="565"/>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row>
    <row r="129" spans="1:32">
      <c r="A129" s="565" t="s">
        <v>620</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row>
    <row r="130" spans="1:32">
      <c r="A130" s="565" t="s">
        <v>621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row>
    <row r="131" spans="1:32">
      <c r="A131" s="565" t="s">
        <v>622</v>
      </c>
      <c r="B131" s="565"/>
      <c r="C131" s="565"/>
      <c r="D131" s="565"/>
      <c r="E131" s="565"/>
      <c r="F131" s="565"/>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row>
    <row r="132" spans="1:32">
      <c r="A132" s="565" t="s">
        <v>651</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row>
    <row r="133" spans="1:32">
      <c r="A133" s="565" t="s">
        <v>652</v>
      </c>
      <c r="B133" s="565"/>
      <c r="C133" s="565"/>
      <c r="D133" s="565"/>
      <c r="E133" s="565"/>
      <c r="F133" s="565"/>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row>
    <row r="134" spans="1:32">
      <c r="A134" s="565" t="s">
        <v>653</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row>
    <row r="135" spans="1:32">
      <c r="A135" s="565" t="s">
        <v>654</v>
      </c>
      <c r="B135" s="565"/>
      <c r="C135" s="565"/>
      <c r="D135" s="565"/>
      <c r="E135" s="565"/>
      <c r="F135" s="565"/>
      <c r="G135" s="565"/>
      <c r="H135" s="565"/>
      <c r="I135" s="565"/>
      <c r="J135" s="565"/>
      <c r="K135" s="565"/>
      <c r="L135" s="565"/>
      <c r="M135" s="565"/>
      <c r="N135" s="565"/>
      <c r="O135" s="565"/>
      <c r="P135" s="565"/>
      <c r="Q135" s="565"/>
      <c r="R135" s="565"/>
      <c r="S135" s="565"/>
      <c r="T135" s="565"/>
      <c r="U135" s="565"/>
      <c r="V135" s="565"/>
      <c r="W135" s="565"/>
      <c r="X135" s="565"/>
      <c r="Y135" s="565"/>
      <c r="Z135" s="565"/>
      <c r="AA135" s="565"/>
      <c r="AB135" s="565"/>
      <c r="AC135" s="565"/>
      <c r="AD135" s="565"/>
      <c r="AE135" s="565"/>
      <c r="AF135" s="565"/>
    </row>
    <row r="136" spans="1:32">
      <c r="A136" s="565" t="s">
        <v>655</v>
      </c>
      <c r="B136" s="565"/>
      <c r="C136" s="565"/>
      <c r="D136" s="565"/>
      <c r="E136" s="565"/>
      <c r="F136" s="565"/>
      <c r="G136" s="565"/>
      <c r="H136" s="565"/>
      <c r="I136" s="565"/>
      <c r="J136" s="565"/>
      <c r="K136" s="565"/>
      <c r="L136" s="565"/>
      <c r="M136" s="565"/>
      <c r="N136" s="565"/>
      <c r="O136" s="565"/>
      <c r="P136" s="565"/>
      <c r="Q136" s="565"/>
      <c r="R136" s="565"/>
      <c r="S136" s="565"/>
      <c r="T136" s="565"/>
      <c r="U136" s="565"/>
      <c r="V136" s="565"/>
      <c r="W136" s="565"/>
      <c r="X136" s="565"/>
      <c r="Y136" s="565"/>
      <c r="Z136" s="565"/>
      <c r="AA136" s="565"/>
      <c r="AB136" s="565"/>
      <c r="AC136" s="565"/>
      <c r="AD136" s="565"/>
      <c r="AE136" s="565"/>
      <c r="AF136" s="565"/>
    </row>
    <row r="137" spans="1:32">
      <c r="A137" s="565" t="s">
        <v>656</v>
      </c>
      <c r="B137" s="565"/>
      <c r="C137" s="565"/>
      <c r="D137" s="565"/>
      <c r="E137" s="565"/>
      <c r="F137" s="565"/>
      <c r="G137" s="565"/>
      <c r="H137" s="565"/>
      <c r="I137" s="565"/>
      <c r="J137" s="565"/>
      <c r="K137" s="565"/>
      <c r="L137" s="565"/>
      <c r="M137" s="565"/>
      <c r="N137" s="565"/>
      <c r="O137" s="565"/>
      <c r="P137" s="565"/>
      <c r="Q137" s="565"/>
      <c r="R137" s="565"/>
      <c r="S137" s="565"/>
      <c r="T137" s="565"/>
      <c r="U137" s="565"/>
      <c r="V137" s="565"/>
      <c r="W137" s="565"/>
      <c r="X137" s="565"/>
      <c r="Y137" s="565"/>
      <c r="Z137" s="565"/>
      <c r="AA137" s="565"/>
      <c r="AB137" s="565"/>
      <c r="AC137" s="565"/>
      <c r="AD137" s="565"/>
      <c r="AE137" s="565"/>
      <c r="AF137" s="565"/>
    </row>
  </sheetData>
  <mergeCells count="29">
    <mergeCell ref="A133:AF133"/>
    <mergeCell ref="A134:AF134"/>
    <mergeCell ref="A135:AF135"/>
    <mergeCell ref="A136:AF136"/>
    <mergeCell ref="A137:AF137"/>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14:AF114"/>
    <mergeCell ref="A115:AF115"/>
    <mergeCell ref="A116:AF116"/>
    <mergeCell ref="A117:AF117"/>
    <mergeCell ref="A118:AF118"/>
    <mergeCell ref="A109:AF109"/>
    <mergeCell ref="A110:AF110"/>
    <mergeCell ref="A111:AF111"/>
    <mergeCell ref="A112:AF112"/>
    <mergeCell ref="A113:AF113"/>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56" zoomScale="125" zoomScaleNormal="125" zoomScalePageLayoutView="125" workbookViewId="0">
      <selection activeCell="A73" sqref="A73"/>
    </sheetView>
  </sheetViews>
  <sheetFormatPr baseColWidth="10" defaultColWidth="12.5" defaultRowHeight="16" x14ac:dyDescent="0"/>
  <cols>
    <col min="1" max="1" width="47.33203125" style="5" customWidth="1"/>
    <col min="2" max="2" width="23" style="251" bestFit="1" customWidth="1"/>
    <col min="3" max="6" width="12.5" style="251"/>
    <col min="7" max="37" width="12.5" style="299"/>
    <col min="38" max="16384" width="12.5" style="5"/>
  </cols>
  <sheetData>
    <row r="1" spans="1:37">
      <c r="A1" s="268" t="s">
        <v>4</v>
      </c>
    </row>
    <row r="2" spans="1:37">
      <c r="A2" s="272" t="s">
        <v>705</v>
      </c>
    </row>
    <row r="3" spans="1:37">
      <c r="A3" s="272" t="s">
        <v>657</v>
      </c>
    </row>
    <row r="4" spans="1:37">
      <c r="A4" s="272" t="s">
        <v>658</v>
      </c>
    </row>
    <row r="6" spans="1:37">
      <c r="A6" s="6" t="s">
        <v>5</v>
      </c>
    </row>
    <row r="7" spans="1:37">
      <c r="A7" s="6" t="s">
        <v>6</v>
      </c>
    </row>
    <row r="8" spans="1:37">
      <c r="A8" s="78" t="s">
        <v>281</v>
      </c>
    </row>
    <row r="10" spans="1:37">
      <c r="AK10" s="300" t="s">
        <v>715</v>
      </c>
    </row>
    <row r="11" spans="1:37">
      <c r="B11" s="469" t="s">
        <v>7</v>
      </c>
      <c r="C11" s="469" t="s">
        <v>8</v>
      </c>
      <c r="D11" s="469" t="s">
        <v>9</v>
      </c>
      <c r="E11" s="469" t="s">
        <v>10</v>
      </c>
      <c r="F11" s="469" t="s">
        <v>11</v>
      </c>
      <c r="G11" s="300" t="s">
        <v>12</v>
      </c>
      <c r="H11" s="300" t="s">
        <v>13</v>
      </c>
      <c r="I11" s="300" t="s">
        <v>14</v>
      </c>
      <c r="J11" s="300" t="s">
        <v>15</v>
      </c>
      <c r="K11" s="300" t="s">
        <v>16</v>
      </c>
      <c r="L11" s="300" t="s">
        <v>17</v>
      </c>
      <c r="M11" s="300" t="s">
        <v>18</v>
      </c>
      <c r="N11" s="300" t="s">
        <v>19</v>
      </c>
      <c r="O11" s="300" t="s">
        <v>20</v>
      </c>
      <c r="P11" s="300" t="s">
        <v>21</v>
      </c>
      <c r="Q11" s="300" t="s">
        <v>22</v>
      </c>
      <c r="R11" s="300" t="s">
        <v>23</v>
      </c>
      <c r="S11" s="300" t="s">
        <v>24</v>
      </c>
      <c r="T11" s="300" t="s">
        <v>25</v>
      </c>
      <c r="U11" s="300" t="s">
        <v>26</v>
      </c>
      <c r="V11" s="300" t="s">
        <v>27</v>
      </c>
      <c r="W11" s="300" t="s">
        <v>28</v>
      </c>
      <c r="X11" s="300" t="s">
        <v>29</v>
      </c>
      <c r="Y11" s="300" t="s">
        <v>30</v>
      </c>
      <c r="Z11" s="300" t="s">
        <v>31</v>
      </c>
      <c r="AA11" s="300" t="s">
        <v>582</v>
      </c>
      <c r="AB11" s="300" t="s">
        <v>583</v>
      </c>
      <c r="AC11" s="300" t="s">
        <v>584</v>
      </c>
      <c r="AD11" s="300" t="s">
        <v>585</v>
      </c>
      <c r="AE11" s="300" t="s">
        <v>586</v>
      </c>
      <c r="AF11" s="300" t="s">
        <v>587</v>
      </c>
      <c r="AG11" s="300" t="s">
        <v>588</v>
      </c>
      <c r="AH11" s="300" t="s">
        <v>589</v>
      </c>
      <c r="AI11" s="300" t="s">
        <v>590</v>
      </c>
      <c r="AJ11" s="300" t="s">
        <v>591</v>
      </c>
      <c r="AK11" s="300">
        <v>2040</v>
      </c>
    </row>
    <row r="12" spans="1:37">
      <c r="B12" s="470"/>
      <c r="C12" s="470"/>
      <c r="D12" s="470"/>
      <c r="E12" s="470"/>
      <c r="F12" s="470"/>
    </row>
    <row r="13" spans="1:37">
      <c r="B13" s="470"/>
      <c r="C13" s="470"/>
      <c r="D13" s="470"/>
      <c r="E13" s="470"/>
      <c r="F13" s="470"/>
    </row>
    <row r="14" spans="1:37">
      <c r="A14" s="6" t="s">
        <v>32</v>
      </c>
      <c r="B14" s="470"/>
      <c r="C14" s="470"/>
      <c r="D14" s="470"/>
      <c r="E14" s="470"/>
      <c r="F14" s="470"/>
    </row>
    <row r="15" spans="1:37">
      <c r="A15" s="6" t="s">
        <v>33</v>
      </c>
      <c r="B15" s="470"/>
      <c r="C15" s="470"/>
      <c r="D15" s="470"/>
      <c r="E15" s="470"/>
      <c r="F15" s="470"/>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659</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660</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661</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99">
        <v>1.0000000000000001E-5</v>
      </c>
      <c r="H33" s="499">
        <v>1.0000000000000001E-5</v>
      </c>
      <c r="I33" s="499">
        <v>1.0000000000000001E-5</v>
      </c>
      <c r="J33" s="499">
        <v>1.0000000000000001E-5</v>
      </c>
      <c r="K33" s="499">
        <v>1.0000000000000001E-5</v>
      </c>
      <c r="L33" s="499">
        <v>1.0000000000000001E-5</v>
      </c>
      <c r="M33" s="499">
        <v>1.0000000000000001E-5</v>
      </c>
      <c r="N33" s="499">
        <v>1.0000000000000001E-5</v>
      </c>
      <c r="O33" s="499">
        <v>1.0000000000000001E-5</v>
      </c>
      <c r="P33" s="499">
        <v>1.0000000000000001E-5</v>
      </c>
      <c r="Q33" s="499">
        <v>1.0000000000000001E-5</v>
      </c>
      <c r="R33" s="499">
        <v>1.0000000000000001E-5</v>
      </c>
      <c r="S33" s="499">
        <v>1.0000000000000001E-5</v>
      </c>
      <c r="T33" s="499">
        <v>1.0000000000000001E-5</v>
      </c>
      <c r="U33" s="499">
        <v>1.0000000000000001E-5</v>
      </c>
      <c r="V33" s="499">
        <v>1.0000000000000001E-5</v>
      </c>
      <c r="W33" s="499">
        <v>1.0000000000000001E-5</v>
      </c>
      <c r="X33" s="499">
        <v>1.0000000000000001E-5</v>
      </c>
      <c r="Y33" s="499">
        <v>1.0000000000000001E-5</v>
      </c>
      <c r="Z33" s="499">
        <v>1.0000000000000001E-5</v>
      </c>
      <c r="AA33" s="499">
        <v>1.0000000000000001E-5</v>
      </c>
      <c r="AB33" s="499">
        <v>1.0000000000000001E-5</v>
      </c>
      <c r="AC33" s="499">
        <v>1.0000000000000001E-5</v>
      </c>
      <c r="AD33" s="499">
        <v>1.0000000000000001E-5</v>
      </c>
      <c r="AE33" s="499">
        <v>1.0000000000000001E-5</v>
      </c>
      <c r="AF33" s="499">
        <v>1.0000000000000001E-5</v>
      </c>
      <c r="AG33" s="499">
        <v>1.0000000000000001E-5</v>
      </c>
      <c r="AH33" s="499">
        <v>1.0000000000000001E-5</v>
      </c>
      <c r="AI33" s="499">
        <v>1.0000000000000001E-5</v>
      </c>
      <c r="AJ33" s="499">
        <v>1.0000000000000001E-5</v>
      </c>
      <c r="AK33"/>
    </row>
    <row r="34" spans="1:39" s="18" customFormat="1">
      <c r="A34" s="17" t="s">
        <v>662</v>
      </c>
      <c r="B34"/>
      <c r="C34"/>
      <c r="D34"/>
      <c r="E34"/>
      <c r="F34"/>
      <c r="G34" s="525">
        <v>1.0000000000000001E-5</v>
      </c>
      <c r="H34" s="525">
        <v>1.0000000000000001E-5</v>
      </c>
      <c r="I34" s="525">
        <v>1.0000000000000001E-5</v>
      </c>
      <c r="J34" s="525">
        <v>1.0000000000000001E-5</v>
      </c>
      <c r="K34" s="525">
        <v>1.0000000000000001E-5</v>
      </c>
      <c r="L34" s="525">
        <v>1.0000000000000001E-5</v>
      </c>
      <c r="M34" s="525">
        <v>1.0000000000000001E-5</v>
      </c>
      <c r="N34" s="525">
        <v>1.0000000000000001E-5</v>
      </c>
      <c r="O34" s="525">
        <v>1.0000000000000001E-5</v>
      </c>
      <c r="P34" s="525">
        <v>1.0000000000000001E-5</v>
      </c>
      <c r="Q34" s="525">
        <v>1.0000000000000001E-5</v>
      </c>
      <c r="R34" s="525">
        <v>1.0000000000000001E-5</v>
      </c>
      <c r="S34" s="525">
        <v>1.0000000000000001E-5</v>
      </c>
      <c r="T34" s="525">
        <v>1.0000000000000001E-5</v>
      </c>
      <c r="U34" s="525">
        <v>1.0000000000000001E-5</v>
      </c>
      <c r="V34" s="525">
        <v>1.0000000000000001E-5</v>
      </c>
      <c r="W34" s="525">
        <v>1.0000000000000001E-5</v>
      </c>
      <c r="X34" s="525">
        <v>1.0000000000000001E-5</v>
      </c>
      <c r="Y34" s="525">
        <v>1.0000000000000001E-5</v>
      </c>
      <c r="Z34" s="525">
        <v>1.0000000000000001E-5</v>
      </c>
      <c r="AA34" s="525">
        <v>1.0000000000000001E-5</v>
      </c>
      <c r="AB34" s="525">
        <v>1.0000000000000001E-5</v>
      </c>
      <c r="AC34" s="525">
        <v>1.0000000000000001E-5</v>
      </c>
      <c r="AD34" s="525">
        <v>1.0000000000000001E-5</v>
      </c>
      <c r="AE34" s="525">
        <v>1.0000000000000001E-5</v>
      </c>
      <c r="AF34" s="525">
        <v>1.0000000000000001E-5</v>
      </c>
      <c r="AG34" s="525">
        <v>1.0000000000000001E-5</v>
      </c>
      <c r="AH34" s="525">
        <v>1.0000000000000001E-5</v>
      </c>
      <c r="AI34" s="525">
        <v>1.0000000000000001E-5</v>
      </c>
      <c r="AJ34" s="525">
        <v>1.0000000000000001E-5</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663</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664</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662</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664</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662</v>
      </c>
      <c r="B54"/>
      <c r="C54"/>
      <c r="D54"/>
      <c r="E54"/>
      <c r="F54"/>
      <c r="G54" s="499">
        <v>1.0000000000000001E-5</v>
      </c>
      <c r="H54" s="499">
        <v>1.0000000000000001E-5</v>
      </c>
      <c r="I54" s="499">
        <v>1.0000000000000001E-5</v>
      </c>
      <c r="J54" s="499">
        <v>1.0000000000000001E-5</v>
      </c>
      <c r="K54" s="499">
        <v>1.0000000000000001E-5</v>
      </c>
      <c r="L54" s="499">
        <v>1.0000000000000001E-5</v>
      </c>
      <c r="M54" s="499">
        <v>1.0000000000000001E-5</v>
      </c>
      <c r="N54" s="499">
        <v>1.0000000000000001E-5</v>
      </c>
      <c r="O54" s="499">
        <v>1.0000000000000001E-5</v>
      </c>
      <c r="P54" s="499">
        <v>1.0000000000000001E-5</v>
      </c>
      <c r="Q54" s="499">
        <v>1.0000000000000001E-5</v>
      </c>
      <c r="R54" s="499">
        <v>1.0000000000000001E-5</v>
      </c>
      <c r="S54" s="499">
        <v>1.0000000000000001E-5</v>
      </c>
      <c r="T54" s="499">
        <v>1.0000000000000001E-5</v>
      </c>
      <c r="U54" s="499">
        <v>1.0000000000000001E-5</v>
      </c>
      <c r="V54" s="499">
        <v>1.0000000000000001E-5</v>
      </c>
      <c r="W54" s="499">
        <v>1.0000000000000001E-5</v>
      </c>
      <c r="X54" s="499">
        <v>1.0000000000000001E-5</v>
      </c>
      <c r="Y54" s="499">
        <v>1.0000000000000001E-5</v>
      </c>
      <c r="Z54" s="499">
        <v>1.0000000000000001E-5</v>
      </c>
      <c r="AA54" s="499">
        <v>1.0000000000000001E-5</v>
      </c>
      <c r="AB54" s="499">
        <v>1.0000000000000001E-5</v>
      </c>
      <c r="AC54" s="499">
        <v>1.0000000000000001E-5</v>
      </c>
      <c r="AD54" s="499">
        <v>1.0000000000000001E-5</v>
      </c>
      <c r="AE54" s="499">
        <v>1.0000000000000001E-5</v>
      </c>
      <c r="AF54" s="499">
        <v>1.0000000000000001E-5</v>
      </c>
      <c r="AG54" s="499">
        <v>1.0000000000000001E-5</v>
      </c>
      <c r="AH54" s="499">
        <v>1.0000000000000001E-5</v>
      </c>
      <c r="AI54" s="499">
        <v>1.0000000000000001E-5</v>
      </c>
      <c r="AJ54" s="499">
        <v>1.0000000000000001E-5</v>
      </c>
      <c r="AK54" s="503">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1" customFormat="1">
      <c r="A57" s="251" t="s">
        <v>350</v>
      </c>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9" s="251" customFormat="1">
      <c r="A58" s="250"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745</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741</v>
      </c>
      <c r="AM59" s="18" t="s">
        <v>757</v>
      </c>
    </row>
    <row r="60" spans="1:39">
      <c r="A60" s="501" t="s">
        <v>734</v>
      </c>
      <c r="G60" s="525">
        <v>162.222207</v>
      </c>
      <c r="H60" s="525">
        <v>152.48548299999999</v>
      </c>
      <c r="I60" s="525">
        <v>125.40522900000001</v>
      </c>
      <c r="J60" s="525">
        <v>128.07257100000001</v>
      </c>
      <c r="K60" s="525">
        <v>130.18250599999999</v>
      </c>
      <c r="L60" s="525">
        <v>132.48146199999999</v>
      </c>
      <c r="M60" s="525">
        <v>134.09786099999999</v>
      </c>
      <c r="N60" s="525">
        <v>133.52292499999999</v>
      </c>
      <c r="O60" s="525">
        <v>133.52296899999999</v>
      </c>
      <c r="P60" s="525">
        <v>133.52292499999999</v>
      </c>
      <c r="Q60" s="525">
        <v>134.21344500000001</v>
      </c>
      <c r="R60" s="525">
        <v>134.213401</v>
      </c>
      <c r="S60" s="525">
        <v>134.21338600000001</v>
      </c>
      <c r="T60" s="525">
        <v>134.21338600000001</v>
      </c>
      <c r="U60" s="525">
        <v>134.21338600000001</v>
      </c>
      <c r="V60" s="525">
        <v>134.21337</v>
      </c>
      <c r="W60" s="525">
        <v>134.21337</v>
      </c>
      <c r="X60" s="525">
        <v>134.21337</v>
      </c>
      <c r="Y60" s="525">
        <v>135.02405400000001</v>
      </c>
      <c r="Z60" s="525">
        <v>135.02405400000001</v>
      </c>
      <c r="AA60" s="525">
        <v>135.19994199999999</v>
      </c>
      <c r="AB60" s="525">
        <v>135.19994299999999</v>
      </c>
      <c r="AC60" s="525">
        <v>135.19994299999999</v>
      </c>
      <c r="AD60" s="525">
        <v>135.19994299999999</v>
      </c>
      <c r="AE60" s="525">
        <v>135.45874699999999</v>
      </c>
      <c r="AF60" s="525">
        <v>135.45879199999999</v>
      </c>
      <c r="AG60" s="525">
        <v>135.45876100000001</v>
      </c>
      <c r="AH60" s="525">
        <v>135.45871500000001</v>
      </c>
      <c r="AI60" s="525">
        <v>136.08383599999999</v>
      </c>
      <c r="AJ60" s="525">
        <v>136.083822</v>
      </c>
      <c r="AK60" s="503">
        <v>4.0000000000000001E-3</v>
      </c>
      <c r="AL60" s="508" t="s">
        <v>728</v>
      </c>
      <c r="AM60" s="29">
        <v>9.9999999999999995E-7</v>
      </c>
    </row>
    <row r="61" spans="1:39">
      <c r="A61" s="501" t="s">
        <v>735</v>
      </c>
      <c r="G61" s="525">
        <v>1.954</v>
      </c>
      <c r="H61" s="525">
        <v>2.032</v>
      </c>
      <c r="I61" s="525">
        <v>2.413675</v>
      </c>
      <c r="J61" s="525">
        <v>2.6329220000000002</v>
      </c>
      <c r="K61" s="525">
        <v>2.6329220000000002</v>
      </c>
      <c r="L61" s="525">
        <v>3.4325480000000002</v>
      </c>
      <c r="M61" s="525">
        <v>4.5954889999999997</v>
      </c>
      <c r="N61" s="525">
        <v>5.3565990000000001</v>
      </c>
      <c r="O61" s="525">
        <v>5.5484929999999997</v>
      </c>
      <c r="P61" s="525">
        <v>5.560594</v>
      </c>
      <c r="Q61" s="525">
        <v>5.9600369999999998</v>
      </c>
      <c r="R61" s="525">
        <v>6.6367599999999998</v>
      </c>
      <c r="S61" s="525">
        <v>7.4563009999999998</v>
      </c>
      <c r="T61" s="525">
        <v>8.3197150000000004</v>
      </c>
      <c r="U61" s="525">
        <v>9.0521349999999998</v>
      </c>
      <c r="V61" s="525">
        <v>9.9619129999999991</v>
      </c>
      <c r="W61" s="525">
        <v>10.783601000000001</v>
      </c>
      <c r="X61" s="525">
        <v>11.229082</v>
      </c>
      <c r="Y61" s="525">
        <v>11.334820000000001</v>
      </c>
      <c r="Z61" s="525">
        <v>11.75822</v>
      </c>
      <c r="AA61" s="525">
        <v>12.825797</v>
      </c>
      <c r="AB61" s="525">
        <v>14.55463</v>
      </c>
      <c r="AC61" s="525">
        <v>16.048373999999999</v>
      </c>
      <c r="AD61" s="525">
        <v>17.544751999999999</v>
      </c>
      <c r="AE61" s="525">
        <v>17.955031999999999</v>
      </c>
      <c r="AF61" s="525">
        <v>18.306678999999999</v>
      </c>
      <c r="AG61" s="525">
        <v>18.575586000000001</v>
      </c>
      <c r="AH61" s="525">
        <v>18.999571</v>
      </c>
      <c r="AI61" s="525">
        <v>19.477578999999999</v>
      </c>
      <c r="AJ61" s="525">
        <v>19.535769999999999</v>
      </c>
      <c r="AK61" s="499" t="s">
        <v>41</v>
      </c>
      <c r="AL61" s="508" t="s">
        <v>729</v>
      </c>
      <c r="AM61" s="29">
        <v>0.55000000000000004</v>
      </c>
    </row>
    <row r="62" spans="1:39">
      <c r="A62" s="501" t="s">
        <v>736</v>
      </c>
      <c r="G62" s="525">
        <v>0.62751400000000002</v>
      </c>
      <c r="H62" s="525">
        <v>0.73646299999999998</v>
      </c>
      <c r="I62" s="525">
        <v>0.87872300000000003</v>
      </c>
      <c r="J62" s="525">
        <v>0.78539499999999995</v>
      </c>
      <c r="K62" s="525">
        <v>0.87771600000000005</v>
      </c>
      <c r="L62" s="525">
        <v>0.78533600000000003</v>
      </c>
      <c r="M62" s="525">
        <v>0.87237699999999996</v>
      </c>
      <c r="N62" s="525">
        <v>0.68582600000000005</v>
      </c>
      <c r="O62" s="525">
        <v>0.88579399999999997</v>
      </c>
      <c r="P62" s="525">
        <v>0.97640300000000002</v>
      </c>
      <c r="Q62" s="525">
        <v>0.88587199999999999</v>
      </c>
      <c r="R62" s="525">
        <v>0.78643700000000005</v>
      </c>
      <c r="S62" s="525">
        <v>0.87707999999999997</v>
      </c>
      <c r="T62" s="525">
        <v>0.97947099999999998</v>
      </c>
      <c r="U62" s="525">
        <v>0.78452100000000002</v>
      </c>
      <c r="V62" s="525">
        <v>0.87380000000000002</v>
      </c>
      <c r="W62" s="525">
        <v>0.87334900000000004</v>
      </c>
      <c r="X62" s="525">
        <v>0.88547699999999996</v>
      </c>
      <c r="Y62" s="525">
        <v>0.77254599999999995</v>
      </c>
      <c r="Z62" s="525">
        <v>0.77651499999999996</v>
      </c>
      <c r="AA62" s="525">
        <v>0.87795400000000001</v>
      </c>
      <c r="AB62" s="525">
        <v>0.77105699999999999</v>
      </c>
      <c r="AC62" s="525">
        <v>0.87198399999999998</v>
      </c>
      <c r="AD62" s="525">
        <v>0.87318600000000002</v>
      </c>
      <c r="AE62" s="525">
        <v>0.769343</v>
      </c>
      <c r="AF62" s="525">
        <v>0.87090699999999999</v>
      </c>
      <c r="AG62" s="525">
        <v>0.76851599999999998</v>
      </c>
      <c r="AH62" s="525">
        <v>0.76966100000000004</v>
      </c>
      <c r="AI62" s="525">
        <v>0.76929400000000003</v>
      </c>
      <c r="AJ62" s="525">
        <v>0.78509700000000004</v>
      </c>
      <c r="AK62" s="503">
        <v>4.0000000000000001E-3</v>
      </c>
      <c r="AL62" s="508" t="s">
        <v>730</v>
      </c>
      <c r="AM62" s="29">
        <v>0</v>
      </c>
    </row>
    <row r="63" spans="1:39">
      <c r="A63" s="501" t="s">
        <v>737</v>
      </c>
      <c r="G63" s="525">
        <v>2.6048960000000001</v>
      </c>
      <c r="H63" s="525">
        <v>2.52163</v>
      </c>
      <c r="I63" s="525">
        <v>2.4783379999999999</v>
      </c>
      <c r="J63" s="525">
        <v>2.6484580000000002</v>
      </c>
      <c r="K63" s="525">
        <v>2.6254789999999999</v>
      </c>
      <c r="L63" s="525">
        <v>2.8440859999999999</v>
      </c>
      <c r="M63" s="525">
        <v>3.1130680000000002</v>
      </c>
      <c r="N63" s="525">
        <v>3.8038400000000001</v>
      </c>
      <c r="O63" s="525">
        <v>4.2440170000000004</v>
      </c>
      <c r="P63" s="525">
        <v>4.3191179999999996</v>
      </c>
      <c r="Q63" s="525">
        <v>4.5315149999999997</v>
      </c>
      <c r="R63" s="525">
        <v>4.6377730000000001</v>
      </c>
      <c r="S63" s="525">
        <v>4.7140420000000001</v>
      </c>
      <c r="T63" s="525">
        <v>4.871772</v>
      </c>
      <c r="U63" s="525">
        <v>4.9320510000000004</v>
      </c>
      <c r="V63" s="525">
        <v>5.2148560000000002</v>
      </c>
      <c r="W63" s="525">
        <v>5.3218880000000004</v>
      </c>
      <c r="X63" s="525">
        <v>5.3656499999999996</v>
      </c>
      <c r="Y63" s="525">
        <v>5.4569850000000004</v>
      </c>
      <c r="Z63" s="525">
        <v>5.5342460000000004</v>
      </c>
      <c r="AA63" s="525">
        <v>5.6304230000000004</v>
      </c>
      <c r="AB63" s="525">
        <v>5.9599130000000002</v>
      </c>
      <c r="AC63" s="525">
        <v>6.0681560000000001</v>
      </c>
      <c r="AD63" s="525">
        <v>6.2059850000000001</v>
      </c>
      <c r="AE63" s="525">
        <v>6.3535630000000003</v>
      </c>
      <c r="AF63" s="525">
        <v>6.488855</v>
      </c>
      <c r="AG63" s="525">
        <v>6.7667320000000002</v>
      </c>
      <c r="AH63" s="525">
        <v>6.910914</v>
      </c>
      <c r="AI63" s="525">
        <v>7.0930580000000001</v>
      </c>
      <c r="AJ63" s="525">
        <v>7.2849589999999997</v>
      </c>
      <c r="AK63" s="503">
        <v>1.7999999999999999E-2</v>
      </c>
      <c r="AL63" s="508" t="s">
        <v>143</v>
      </c>
      <c r="AM63" s="29">
        <v>0.2</v>
      </c>
    </row>
    <row r="64" spans="1:39">
      <c r="A64" s="501" t="s">
        <v>738</v>
      </c>
      <c r="G64" s="525">
        <v>0.51155099999999998</v>
      </c>
      <c r="H64" s="525">
        <v>0.82118500000000005</v>
      </c>
      <c r="I64" s="525">
        <v>1.023638</v>
      </c>
      <c r="J64" s="525">
        <v>1.1740429999999999</v>
      </c>
      <c r="K64" s="525">
        <v>1.3337669999999999</v>
      </c>
      <c r="L64" s="525">
        <v>1.486693</v>
      </c>
      <c r="M64" s="525">
        <v>1.5023340000000001</v>
      </c>
      <c r="N64" s="525">
        <v>1.520192</v>
      </c>
      <c r="O64" s="525">
        <v>1.5423739999999999</v>
      </c>
      <c r="P64" s="525">
        <v>1.570133</v>
      </c>
      <c r="Q64" s="525">
        <v>1.600212</v>
      </c>
      <c r="R64" s="525">
        <v>1.6359220000000001</v>
      </c>
      <c r="S64" s="525">
        <v>1.6757070000000001</v>
      </c>
      <c r="T64" s="525">
        <v>1.7184809999999999</v>
      </c>
      <c r="U64" s="525">
        <v>1.7902469999999999</v>
      </c>
      <c r="V64" s="525">
        <v>1.88171</v>
      </c>
      <c r="W64" s="525">
        <v>1.9504509999999999</v>
      </c>
      <c r="X64" s="525">
        <v>2.0058950000000002</v>
      </c>
      <c r="Y64" s="525">
        <v>2.0631339999999998</v>
      </c>
      <c r="Z64" s="525">
        <v>2.1304449999999999</v>
      </c>
      <c r="AA64" s="525">
        <v>2.201117</v>
      </c>
      <c r="AB64" s="525">
        <v>2.2741250000000002</v>
      </c>
      <c r="AC64" s="525">
        <v>2.3493219999999999</v>
      </c>
      <c r="AD64" s="525">
        <v>2.531155</v>
      </c>
      <c r="AE64" s="525">
        <v>2.8220130000000001</v>
      </c>
      <c r="AF64" s="525">
        <v>2.9991880000000002</v>
      </c>
      <c r="AG64" s="525">
        <v>3.0883639999999999</v>
      </c>
      <c r="AH64" s="525">
        <v>3.1784089999999998</v>
      </c>
      <c r="AI64" s="525">
        <v>3.26749</v>
      </c>
      <c r="AJ64" s="525">
        <v>3.358225</v>
      </c>
      <c r="AK64" s="503">
        <v>7.0000000000000007E-2</v>
      </c>
      <c r="AL64" s="508" t="s">
        <v>731</v>
      </c>
      <c r="AM64" s="29">
        <v>0.49392000657367241</v>
      </c>
    </row>
    <row r="65" spans="1:44">
      <c r="A65" s="501" t="s">
        <v>739</v>
      </c>
      <c r="G65" s="525">
        <v>24.002313000000001</v>
      </c>
      <c r="H65" s="525">
        <v>27.39631</v>
      </c>
      <c r="I65" s="525">
        <v>32.237394999999999</v>
      </c>
      <c r="J65" s="525">
        <v>32.337364999999998</v>
      </c>
      <c r="K65" s="525">
        <v>34.599170000000001</v>
      </c>
      <c r="L65" s="525">
        <v>35.894435999999999</v>
      </c>
      <c r="M65" s="525">
        <v>35.896509999999999</v>
      </c>
      <c r="N65" s="525">
        <v>35.895629999999997</v>
      </c>
      <c r="O65" s="525">
        <v>35.893549</v>
      </c>
      <c r="P65" s="525">
        <v>35.892992</v>
      </c>
      <c r="Q65" s="525">
        <v>35.892755999999999</v>
      </c>
      <c r="R65" s="525">
        <v>35.904451000000002</v>
      </c>
      <c r="S65" s="525">
        <v>35.896577000000001</v>
      </c>
      <c r="T65" s="525">
        <v>35.895961</v>
      </c>
      <c r="U65" s="525">
        <v>35.930641000000001</v>
      </c>
      <c r="V65" s="525">
        <v>35.984830000000002</v>
      </c>
      <c r="W65" s="525">
        <v>36.036448</v>
      </c>
      <c r="X65" s="525">
        <v>36.060358000000001</v>
      </c>
      <c r="Y65" s="525">
        <v>36.069781999999996</v>
      </c>
      <c r="Z65" s="525">
        <v>36.112904</v>
      </c>
      <c r="AA65" s="525">
        <v>36.165244000000001</v>
      </c>
      <c r="AB65" s="525">
        <v>36.21696</v>
      </c>
      <c r="AC65" s="525">
        <v>36.271877000000003</v>
      </c>
      <c r="AD65" s="525">
        <v>36.501784999999998</v>
      </c>
      <c r="AE65" s="525">
        <v>36.661152000000001</v>
      </c>
      <c r="AF65" s="525">
        <v>39.680852000000002</v>
      </c>
      <c r="AG65" s="525">
        <v>43.158693999999997</v>
      </c>
      <c r="AH65" s="525">
        <v>44.111682000000002</v>
      </c>
      <c r="AI65" s="525">
        <v>44.450904999999999</v>
      </c>
      <c r="AJ65" s="525">
        <v>45.045571000000002</v>
      </c>
      <c r="AK65" s="503">
        <v>7.2999999999999995E-2</v>
      </c>
      <c r="AL65" s="508" t="s">
        <v>732</v>
      </c>
      <c r="AM65" s="29">
        <v>0.50896152239357639</v>
      </c>
    </row>
    <row r="66" spans="1:44">
      <c r="A66" s="502" t="s">
        <v>740</v>
      </c>
      <c r="G66" s="526">
        <v>191.92248000000001</v>
      </c>
      <c r="H66" s="526">
        <v>185.99306100000001</v>
      </c>
      <c r="I66" s="526">
        <v>164.43701300000001</v>
      </c>
      <c r="J66" s="526">
        <v>167.650746</v>
      </c>
      <c r="K66" s="526">
        <v>172.25156000000001</v>
      </c>
      <c r="L66" s="526">
        <v>176.92456100000001</v>
      </c>
      <c r="M66" s="526">
        <v>180.07764299999999</v>
      </c>
      <c r="N66" s="526">
        <v>180.78501900000001</v>
      </c>
      <c r="O66" s="526">
        <v>181.63718800000001</v>
      </c>
      <c r="P66" s="526">
        <v>181.842163</v>
      </c>
      <c r="Q66" s="526">
        <v>183.08384799999999</v>
      </c>
      <c r="R66" s="526">
        <v>183.81473399999999</v>
      </c>
      <c r="S66" s="526">
        <v>184.83309299999999</v>
      </c>
      <c r="T66" s="526">
        <v>185.998785</v>
      </c>
      <c r="U66" s="526">
        <v>186.70298</v>
      </c>
      <c r="V66" s="526">
        <v>188.13050100000001</v>
      </c>
      <c r="W66" s="526">
        <v>189.17910800000001</v>
      </c>
      <c r="X66" s="526">
        <v>189.75981899999999</v>
      </c>
      <c r="Y66" s="526">
        <v>190.72131400000001</v>
      </c>
      <c r="Z66" s="526">
        <v>191.33638099999999</v>
      </c>
      <c r="AA66" s="526">
        <v>192.900475</v>
      </c>
      <c r="AB66" s="526">
        <v>194.976618</v>
      </c>
      <c r="AC66" s="526">
        <v>196.80967899999999</v>
      </c>
      <c r="AD66" s="526">
        <v>198.85680199999999</v>
      </c>
      <c r="AE66" s="526">
        <v>200.019869</v>
      </c>
      <c r="AF66" s="526">
        <v>203.805263</v>
      </c>
      <c r="AG66" s="526">
        <v>207.81667400000001</v>
      </c>
      <c r="AH66" s="526">
        <v>209.428957</v>
      </c>
      <c r="AI66" s="526">
        <v>211.14216999999999</v>
      </c>
      <c r="AJ66" s="526">
        <v>212.093433</v>
      </c>
      <c r="AK66" s="504">
        <v>2.1999999999999999E-2</v>
      </c>
      <c r="AL66" s="508" t="s">
        <v>733</v>
      </c>
      <c r="AM66" s="29">
        <v>0.20354184392922398</v>
      </c>
    </row>
    <row r="67" spans="1:44">
      <c r="A67" s="510"/>
      <c r="B67"/>
      <c r="C67"/>
      <c r="D67"/>
      <c r="E67"/>
      <c r="F67"/>
      <c r="G67"/>
      <c r="H67"/>
      <c r="I67"/>
      <c r="J67"/>
      <c r="K67"/>
      <c r="L67"/>
      <c r="M67"/>
      <c r="N67"/>
      <c r="O67"/>
      <c r="P67"/>
      <c r="Q67"/>
      <c r="R67"/>
      <c r="S67"/>
      <c r="T67"/>
      <c r="U67"/>
      <c r="V67"/>
      <c r="W67"/>
      <c r="X67"/>
      <c r="Y67"/>
      <c r="Z67"/>
      <c r="AA67"/>
      <c r="AB67"/>
      <c r="AC67"/>
      <c r="AD67"/>
      <c r="AE67"/>
      <c r="AF67"/>
      <c r="AG67"/>
      <c r="AH67"/>
      <c r="AI67"/>
      <c r="AJ67"/>
      <c r="AK67"/>
      <c r="AL67" s="509" t="s">
        <v>58</v>
      </c>
      <c r="AM67" s="29">
        <v>0.53588352078504664</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1"/>
      <c r="C69" s="471"/>
      <c r="D69" s="471"/>
      <c r="E69" s="471"/>
      <c r="F69" s="471"/>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44" s="90" customFormat="1">
      <c r="B70" s="472" t="s">
        <v>7</v>
      </c>
      <c r="C70" s="472" t="s">
        <v>8</v>
      </c>
      <c r="D70" s="472" t="s">
        <v>9</v>
      </c>
      <c r="E70" s="472" t="s">
        <v>10</v>
      </c>
      <c r="F70" s="472" t="s">
        <v>11</v>
      </c>
      <c r="G70" s="319" t="s">
        <v>12</v>
      </c>
      <c r="H70" s="319" t="s">
        <v>13</v>
      </c>
      <c r="I70" s="319" t="s">
        <v>14</v>
      </c>
      <c r="J70" s="319" t="s">
        <v>15</v>
      </c>
      <c r="K70" s="319" t="s">
        <v>16</v>
      </c>
      <c r="L70" s="319" t="s">
        <v>17</v>
      </c>
      <c r="M70" s="319" t="s">
        <v>18</v>
      </c>
      <c r="N70" s="319" t="s">
        <v>19</v>
      </c>
      <c r="O70" s="319" t="s">
        <v>20</v>
      </c>
      <c r="P70" s="319" t="s">
        <v>21</v>
      </c>
      <c r="Q70" s="319" t="s">
        <v>22</v>
      </c>
      <c r="R70" s="319" t="s">
        <v>23</v>
      </c>
      <c r="S70" s="319" t="s">
        <v>24</v>
      </c>
      <c r="T70" s="319" t="s">
        <v>25</v>
      </c>
      <c r="U70" s="319" t="s">
        <v>26</v>
      </c>
      <c r="V70" s="319" t="s">
        <v>27</v>
      </c>
      <c r="W70" s="319" t="s">
        <v>28</v>
      </c>
      <c r="X70" s="319" t="s">
        <v>29</v>
      </c>
      <c r="Y70" s="319" t="s">
        <v>30</v>
      </c>
      <c r="Z70" s="319" t="s">
        <v>31</v>
      </c>
      <c r="AA70" s="319" t="s">
        <v>582</v>
      </c>
      <c r="AB70" s="319" t="s">
        <v>583</v>
      </c>
      <c r="AC70" s="319" t="s">
        <v>584</v>
      </c>
      <c r="AD70" s="319" t="s">
        <v>585</v>
      </c>
      <c r="AE70" s="319" t="s">
        <v>586</v>
      </c>
      <c r="AF70" s="319" t="s">
        <v>587</v>
      </c>
      <c r="AG70" s="319" t="s">
        <v>588</v>
      </c>
      <c r="AH70" s="319" t="s">
        <v>589</v>
      </c>
      <c r="AI70" s="319" t="s">
        <v>590</v>
      </c>
      <c r="AJ70" s="319" t="s">
        <v>591</v>
      </c>
      <c r="AK70" s="319" t="s">
        <v>594</v>
      </c>
      <c r="AM70" s="90" t="s">
        <v>751</v>
      </c>
      <c r="AN70" s="90">
        <v>2006</v>
      </c>
      <c r="AO70" s="90">
        <v>2007</v>
      </c>
      <c r="AP70" s="90">
        <v>2008</v>
      </c>
      <c r="AQ70" s="90">
        <v>2009</v>
      </c>
      <c r="AR70" s="90">
        <v>2010</v>
      </c>
    </row>
    <row r="71" spans="1:44">
      <c r="B71" s="470"/>
      <c r="C71" s="470"/>
      <c r="D71" s="470"/>
      <c r="E71" s="470"/>
      <c r="F71" s="470"/>
    </row>
    <row r="72" spans="1:44" s="18" customFormat="1">
      <c r="A72" s="17" t="s">
        <v>55</v>
      </c>
      <c r="B72" s="473"/>
      <c r="C72" s="473"/>
      <c r="D72" s="473"/>
      <c r="E72" s="473"/>
      <c r="F72" s="473"/>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M72" s="18" t="s">
        <v>728</v>
      </c>
      <c r="AN72" s="18">
        <v>0</v>
      </c>
      <c r="AO72" s="18">
        <v>0</v>
      </c>
      <c r="AP72" s="18">
        <v>0</v>
      </c>
      <c r="AQ72" s="18">
        <v>0</v>
      </c>
      <c r="AR72" s="18">
        <v>0</v>
      </c>
    </row>
    <row r="73" spans="1:44" s="18" customFormat="1">
      <c r="A73" s="17" t="s">
        <v>49</v>
      </c>
      <c r="B73" s="491">
        <f>AN73</f>
        <v>82.007999999999996</v>
      </c>
      <c r="C73" s="491">
        <f t="shared" ref="C73:F73" si="0">AO73</f>
        <v>78.828999999999994</v>
      </c>
      <c r="D73" s="491">
        <f t="shared" si="0"/>
        <v>77.637</v>
      </c>
      <c r="E73" s="491">
        <f t="shared" si="0"/>
        <v>72.933000000000007</v>
      </c>
      <c r="F73" s="491">
        <f t="shared" si="0"/>
        <v>68.287999999999997</v>
      </c>
      <c r="G73" s="484">
        <f t="shared" ref="G73:AJ73" si="1">G60*$AM61</f>
        <v>89.222213850000003</v>
      </c>
      <c r="H73" s="484">
        <f t="shared" si="1"/>
        <v>83.867015649999999</v>
      </c>
      <c r="I73" s="484">
        <f t="shared" si="1"/>
        <v>68.972875950000002</v>
      </c>
      <c r="J73" s="484">
        <f t="shared" si="1"/>
        <v>70.439914050000013</v>
      </c>
      <c r="K73" s="484">
        <f t="shared" si="1"/>
        <v>71.600378300000003</v>
      </c>
      <c r="L73" s="484">
        <f t="shared" si="1"/>
        <v>72.864804100000001</v>
      </c>
      <c r="M73" s="484">
        <f t="shared" si="1"/>
        <v>73.753823550000007</v>
      </c>
      <c r="N73" s="484">
        <f t="shared" si="1"/>
        <v>73.437608749999995</v>
      </c>
      <c r="O73" s="484">
        <f t="shared" si="1"/>
        <v>73.437632949999994</v>
      </c>
      <c r="P73" s="484">
        <f t="shared" si="1"/>
        <v>73.437608749999995</v>
      </c>
      <c r="Q73" s="484">
        <f t="shared" si="1"/>
        <v>73.817394750000005</v>
      </c>
      <c r="R73" s="484">
        <f t="shared" si="1"/>
        <v>73.817370550000007</v>
      </c>
      <c r="S73" s="484">
        <f t="shared" si="1"/>
        <v>73.817362300000013</v>
      </c>
      <c r="T73" s="484">
        <f t="shared" si="1"/>
        <v>73.817362300000013</v>
      </c>
      <c r="U73" s="484">
        <f t="shared" si="1"/>
        <v>73.817362300000013</v>
      </c>
      <c r="V73" s="484">
        <f t="shared" si="1"/>
        <v>73.81735350000001</v>
      </c>
      <c r="W73" s="484">
        <f t="shared" si="1"/>
        <v>73.81735350000001</v>
      </c>
      <c r="X73" s="484">
        <f t="shared" si="1"/>
        <v>73.81735350000001</v>
      </c>
      <c r="Y73" s="484">
        <f t="shared" si="1"/>
        <v>74.263229700000011</v>
      </c>
      <c r="Z73" s="484">
        <f t="shared" si="1"/>
        <v>74.263229700000011</v>
      </c>
      <c r="AA73" s="484">
        <f t="shared" si="1"/>
        <v>74.359968100000003</v>
      </c>
      <c r="AB73" s="484">
        <f t="shared" si="1"/>
        <v>74.359968649999999</v>
      </c>
      <c r="AC73" s="484">
        <f t="shared" si="1"/>
        <v>74.359968649999999</v>
      </c>
      <c r="AD73" s="484">
        <f t="shared" si="1"/>
        <v>74.359968649999999</v>
      </c>
      <c r="AE73" s="484">
        <f t="shared" si="1"/>
        <v>74.502310850000001</v>
      </c>
      <c r="AF73" s="484">
        <f t="shared" si="1"/>
        <v>74.502335599999995</v>
      </c>
      <c r="AG73" s="484">
        <f t="shared" si="1"/>
        <v>74.502318550000012</v>
      </c>
      <c r="AH73" s="484">
        <f t="shared" si="1"/>
        <v>74.502293250000008</v>
      </c>
      <c r="AI73" s="484">
        <f t="shared" si="1"/>
        <v>74.846109800000008</v>
      </c>
      <c r="AJ73" s="484">
        <f t="shared" si="1"/>
        <v>74.84610210000001</v>
      </c>
      <c r="AK73" s="485"/>
      <c r="AM73" s="18" t="s">
        <v>729</v>
      </c>
      <c r="AN73" s="18">
        <v>82.007999999999996</v>
      </c>
      <c r="AO73" s="18">
        <v>78.828999999999994</v>
      </c>
      <c r="AP73" s="18">
        <v>77.637</v>
      </c>
      <c r="AQ73" s="18">
        <v>72.933000000000007</v>
      </c>
      <c r="AR73" s="18">
        <v>68.287999999999997</v>
      </c>
    </row>
    <row r="74" spans="1:44" s="18" customFormat="1">
      <c r="A74" s="17" t="s">
        <v>50</v>
      </c>
      <c r="B74" s="491">
        <f>AN72</f>
        <v>0</v>
      </c>
      <c r="C74" s="491">
        <f t="shared" ref="C74:F74" si="2">AO72</f>
        <v>0</v>
      </c>
      <c r="D74" s="491">
        <f t="shared" si="2"/>
        <v>0</v>
      </c>
      <c r="E74" s="491">
        <f t="shared" si="2"/>
        <v>0</v>
      </c>
      <c r="F74" s="491">
        <f t="shared" si="2"/>
        <v>0</v>
      </c>
      <c r="G74" s="484">
        <f t="shared" ref="G74:AJ74" si="3">G61*$AM60</f>
        <v>1.9539999999999998E-6</v>
      </c>
      <c r="H74" s="484">
        <f t="shared" si="3"/>
        <v>2.0319999999999998E-6</v>
      </c>
      <c r="I74" s="484">
        <f t="shared" si="3"/>
        <v>2.4136749999999998E-6</v>
      </c>
      <c r="J74" s="484">
        <f t="shared" si="3"/>
        <v>2.632922E-6</v>
      </c>
      <c r="K74" s="484">
        <f t="shared" si="3"/>
        <v>2.632922E-6</v>
      </c>
      <c r="L74" s="484">
        <f t="shared" si="3"/>
        <v>3.4325479999999998E-6</v>
      </c>
      <c r="M74" s="484">
        <f t="shared" si="3"/>
        <v>4.5954889999999994E-6</v>
      </c>
      <c r="N74" s="484">
        <f t="shared" si="3"/>
        <v>5.3565990000000003E-6</v>
      </c>
      <c r="O74" s="484">
        <f t="shared" si="3"/>
        <v>5.5484929999999995E-6</v>
      </c>
      <c r="P74" s="484">
        <f t="shared" si="3"/>
        <v>5.560594E-6</v>
      </c>
      <c r="Q74" s="484">
        <f t="shared" si="3"/>
        <v>5.9600369999999992E-6</v>
      </c>
      <c r="R74" s="484">
        <f t="shared" si="3"/>
        <v>6.6367599999999995E-6</v>
      </c>
      <c r="S74" s="484">
        <f t="shared" si="3"/>
        <v>7.4563009999999995E-6</v>
      </c>
      <c r="T74" s="484">
        <f t="shared" si="3"/>
        <v>8.3197150000000004E-6</v>
      </c>
      <c r="U74" s="484">
        <f t="shared" si="3"/>
        <v>9.052135E-6</v>
      </c>
      <c r="V74" s="484">
        <f t="shared" si="3"/>
        <v>9.9619129999999992E-6</v>
      </c>
      <c r="W74" s="484">
        <f t="shared" si="3"/>
        <v>1.0783601000000001E-5</v>
      </c>
      <c r="X74" s="484">
        <f t="shared" si="3"/>
        <v>1.1229082E-5</v>
      </c>
      <c r="Y74" s="484">
        <f t="shared" si="3"/>
        <v>1.133482E-5</v>
      </c>
      <c r="Z74" s="484">
        <f t="shared" si="3"/>
        <v>1.1758219999999998E-5</v>
      </c>
      <c r="AA74" s="484">
        <f t="shared" si="3"/>
        <v>1.2825796999999999E-5</v>
      </c>
      <c r="AB74" s="484">
        <f t="shared" si="3"/>
        <v>1.4554629999999998E-5</v>
      </c>
      <c r="AC74" s="484">
        <f t="shared" si="3"/>
        <v>1.6048373999999999E-5</v>
      </c>
      <c r="AD74" s="484">
        <f t="shared" si="3"/>
        <v>1.7544751999999997E-5</v>
      </c>
      <c r="AE74" s="484">
        <f t="shared" si="3"/>
        <v>1.7955031999999998E-5</v>
      </c>
      <c r="AF74" s="484">
        <f t="shared" si="3"/>
        <v>1.8306678999999998E-5</v>
      </c>
      <c r="AG74" s="484">
        <f t="shared" si="3"/>
        <v>1.8575586000000001E-5</v>
      </c>
      <c r="AH74" s="484">
        <f t="shared" si="3"/>
        <v>1.8999570999999997E-5</v>
      </c>
      <c r="AI74" s="484">
        <f t="shared" si="3"/>
        <v>1.9477578999999997E-5</v>
      </c>
      <c r="AJ74" s="484">
        <f t="shared" si="3"/>
        <v>1.9535769999999998E-5</v>
      </c>
      <c r="AK74" s="485"/>
      <c r="AM74" s="18" t="s">
        <v>730</v>
      </c>
      <c r="AN74" s="18">
        <v>0</v>
      </c>
      <c r="AO74" s="18">
        <v>0</v>
      </c>
      <c r="AP74" s="18">
        <v>0</v>
      </c>
      <c r="AQ74" s="18">
        <v>0</v>
      </c>
      <c r="AR74" s="18">
        <v>0</v>
      </c>
    </row>
    <row r="75" spans="1:44" s="18" customFormat="1">
      <c r="A75" s="17" t="s">
        <v>51</v>
      </c>
      <c r="B75" s="491">
        <f>AN77</f>
        <v>0.16500000000000001</v>
      </c>
      <c r="C75" s="491">
        <f t="shared" ref="C75:F75" si="4">AO77</f>
        <v>0.16300000000000001</v>
      </c>
      <c r="D75" s="491">
        <f t="shared" si="4"/>
        <v>0.156</v>
      </c>
      <c r="E75" s="491">
        <f t="shared" si="4"/>
        <v>0.156</v>
      </c>
      <c r="F75" s="491">
        <f t="shared" si="4"/>
        <v>0.185</v>
      </c>
      <c r="G75" s="484">
        <f t="shared" ref="G75:AJ75" si="5">G62*$AM65</f>
        <v>0.31938048076328268</v>
      </c>
      <c r="H75" s="484">
        <f t="shared" si="5"/>
        <v>0.37483132966654042</v>
      </c>
      <c r="I75" s="484">
        <f t="shared" si="5"/>
        <v>0.44723619584225066</v>
      </c>
      <c r="J75" s="484">
        <f t="shared" si="5"/>
        <v>0.3997358348803029</v>
      </c>
      <c r="K75" s="484">
        <f t="shared" si="5"/>
        <v>0.44672367158920034</v>
      </c>
      <c r="L75" s="484">
        <f t="shared" si="5"/>
        <v>0.39970580615048174</v>
      </c>
      <c r="M75" s="484">
        <f t="shared" si="5"/>
        <v>0.44400632602114098</v>
      </c>
      <c r="N75" s="484">
        <f t="shared" si="5"/>
        <v>0.34905904505709695</v>
      </c>
      <c r="O75" s="484">
        <f t="shared" si="5"/>
        <v>0.45083506276709562</v>
      </c>
      <c r="P75" s="484">
        <f t="shared" si="5"/>
        <v>0.49695155734965518</v>
      </c>
      <c r="Q75" s="484">
        <f t="shared" si="5"/>
        <v>0.45087476176584229</v>
      </c>
      <c r="R75" s="484">
        <f t="shared" si="5"/>
        <v>0.40026617278663706</v>
      </c>
      <c r="S75" s="484">
        <f t="shared" si="5"/>
        <v>0.44639997206095799</v>
      </c>
      <c r="T75" s="484">
        <f t="shared" si="5"/>
        <v>0.49851305130035867</v>
      </c>
      <c r="U75" s="484">
        <f t="shared" si="5"/>
        <v>0.39929100250973093</v>
      </c>
      <c r="V75" s="484">
        <f t="shared" si="5"/>
        <v>0.44473057826750706</v>
      </c>
      <c r="W75" s="484">
        <f t="shared" si="5"/>
        <v>0.44450103662090756</v>
      </c>
      <c r="X75" s="484">
        <f t="shared" si="5"/>
        <v>0.45067372196449684</v>
      </c>
      <c r="Y75" s="484">
        <f t="shared" si="5"/>
        <v>0.39319618827906783</v>
      </c>
      <c r="Z75" s="484">
        <f t="shared" si="5"/>
        <v>0.39521625656144793</v>
      </c>
      <c r="AA75" s="484">
        <f t="shared" si="5"/>
        <v>0.44684480443152996</v>
      </c>
      <c r="AB75" s="484">
        <f t="shared" si="5"/>
        <v>0.39243834457222382</v>
      </c>
      <c r="AC75" s="484">
        <f t="shared" si="5"/>
        <v>0.44380630414284034</v>
      </c>
      <c r="AD75" s="484">
        <f t="shared" si="5"/>
        <v>0.44441807589275739</v>
      </c>
      <c r="AE75" s="484">
        <f t="shared" si="5"/>
        <v>0.39156598452284125</v>
      </c>
      <c r="AF75" s="484">
        <f t="shared" si="5"/>
        <v>0.44325815258322243</v>
      </c>
      <c r="AG75" s="484">
        <f t="shared" si="5"/>
        <v>0.39114507334382176</v>
      </c>
      <c r="AH75" s="484">
        <f t="shared" si="5"/>
        <v>0.3917278342869624</v>
      </c>
      <c r="AI75" s="484">
        <f t="shared" si="5"/>
        <v>0.39154104540824397</v>
      </c>
      <c r="AJ75" s="484">
        <f t="shared" si="5"/>
        <v>0.39958416434662969</v>
      </c>
      <c r="AK75" s="485"/>
      <c r="AM75" s="18" t="s">
        <v>143</v>
      </c>
      <c r="AN75" s="18">
        <v>1.038</v>
      </c>
      <c r="AO75" s="18">
        <v>2.4380000000000002</v>
      </c>
      <c r="AP75" s="18">
        <v>3.657</v>
      </c>
      <c r="AQ75" s="18">
        <v>3.5720000000000001</v>
      </c>
      <c r="AR75" s="18">
        <v>4.7450000000000001</v>
      </c>
    </row>
    <row r="76" spans="1:44" s="18" customFormat="1">
      <c r="A76" s="17" t="s">
        <v>56</v>
      </c>
      <c r="B76" s="492">
        <f>AN76</f>
        <v>1.2809999999999999</v>
      </c>
      <c r="C76" s="492">
        <f t="shared" ref="C76:F76" si="6">AO76</f>
        <v>1.1160000000000001</v>
      </c>
      <c r="D76" s="492">
        <f t="shared" si="6"/>
        <v>1.113</v>
      </c>
      <c r="E76" s="492">
        <f t="shared" si="6"/>
        <v>1.3049999999999999</v>
      </c>
      <c r="F76" s="492">
        <f t="shared" si="6"/>
        <v>1.6759999999999999</v>
      </c>
      <c r="G76" s="492">
        <f>G63*$AM$64</f>
        <v>1.286610249443733</v>
      </c>
      <c r="H76" s="492">
        <f>H63*$AM$64</f>
        <v>1.2454835061763696</v>
      </c>
      <c r="I76" s="492">
        <f t="shared" ref="I76:AJ76" si="7">I63*$AM$64</f>
        <v>1.224100721251782</v>
      </c>
      <c r="J76" s="492">
        <f t="shared" si="7"/>
        <v>1.3081263927700955</v>
      </c>
      <c r="K76" s="492">
        <f t="shared" si="7"/>
        <v>1.2967766049390388</v>
      </c>
      <c r="L76" s="492">
        <f t="shared" si="7"/>
        <v>1.4047509758160897</v>
      </c>
      <c r="M76" s="492">
        <f t="shared" si="7"/>
        <v>1.5376065670242893</v>
      </c>
      <c r="N76" s="492">
        <f t="shared" si="7"/>
        <v>1.8787926778051982</v>
      </c>
      <c r="O76" s="492">
        <f t="shared" si="7"/>
        <v>2.0962049045387778</v>
      </c>
      <c r="P76" s="492">
        <f t="shared" si="7"/>
        <v>2.1332987909524666</v>
      </c>
      <c r="Q76" s="492">
        <f t="shared" si="7"/>
        <v>2.2382059185886951</v>
      </c>
      <c r="R76" s="492">
        <f t="shared" si="7"/>
        <v>2.2906888706472004</v>
      </c>
      <c r="S76" s="492">
        <f t="shared" si="7"/>
        <v>2.3283596556285677</v>
      </c>
      <c r="T76" s="492">
        <f t="shared" si="7"/>
        <v>2.4062656582654331</v>
      </c>
      <c r="U76" s="492">
        <f t="shared" si="7"/>
        <v>2.4360386623416876</v>
      </c>
      <c r="V76" s="492">
        <f t="shared" si="7"/>
        <v>2.5757217098007552</v>
      </c>
      <c r="W76" s="492">
        <f t="shared" si="7"/>
        <v>2.6285869559443484</v>
      </c>
      <c r="X76" s="492">
        <f t="shared" si="7"/>
        <v>2.6502018832720253</v>
      </c>
      <c r="Y76" s="492">
        <f t="shared" si="7"/>
        <v>2.6953140670724318</v>
      </c>
      <c r="Z76" s="492">
        <f t="shared" si="7"/>
        <v>2.7334748207003203</v>
      </c>
      <c r="AA76" s="492">
        <f t="shared" si="7"/>
        <v>2.7809785651725565</v>
      </c>
      <c r="AB76" s="492">
        <f t="shared" si="7"/>
        <v>2.9437202681385157</v>
      </c>
      <c r="AC76" s="492">
        <f t="shared" si="7"/>
        <v>2.9971836514100696</v>
      </c>
      <c r="AD76" s="492">
        <f t="shared" si="7"/>
        <v>3.0652601519961125</v>
      </c>
      <c r="AE76" s="492">
        <f t="shared" si="7"/>
        <v>3.1381518787262421</v>
      </c>
      <c r="AF76" s="492">
        <f t="shared" si="7"/>
        <v>3.2049753042556071</v>
      </c>
      <c r="AG76" s="492">
        <f t="shared" si="7"/>
        <v>3.3422243139222796</v>
      </c>
      <c r="AH76" s="492">
        <f t="shared" si="7"/>
        <v>3.4134386883100847</v>
      </c>
      <c r="AI76" s="492">
        <f t="shared" si="7"/>
        <v>3.5034032539874396</v>
      </c>
      <c r="AJ76" s="492">
        <f t="shared" si="7"/>
        <v>3.5981869971689338</v>
      </c>
      <c r="AK76" s="485"/>
      <c r="AM76" s="18" t="s">
        <v>747</v>
      </c>
      <c r="AN76" s="18">
        <v>1.2809999999999999</v>
      </c>
      <c r="AO76" s="18">
        <v>1.1160000000000001</v>
      </c>
      <c r="AP76" s="18">
        <v>1.113</v>
      </c>
      <c r="AQ76" s="18">
        <v>1.3049999999999999</v>
      </c>
      <c r="AR76" s="18">
        <v>1.6759999999999999</v>
      </c>
    </row>
    <row r="77" spans="1:44" s="18" customFormat="1">
      <c r="A77" s="17" t="s">
        <v>52</v>
      </c>
      <c r="B77" s="491">
        <f>AN74</f>
        <v>0</v>
      </c>
      <c r="C77" s="491">
        <f t="shared" ref="C77:F77" si="8">AO74</f>
        <v>0</v>
      </c>
      <c r="D77" s="491">
        <f t="shared" si="8"/>
        <v>0</v>
      </c>
      <c r="E77" s="491">
        <f t="shared" si="8"/>
        <v>0</v>
      </c>
      <c r="F77" s="491">
        <f t="shared" si="8"/>
        <v>0</v>
      </c>
      <c r="G77" s="484">
        <f t="shared" ref="G77:AJ77" si="9">G64*$AM62</f>
        <v>0</v>
      </c>
      <c r="H77" s="484">
        <f t="shared" si="9"/>
        <v>0</v>
      </c>
      <c r="I77" s="484">
        <f t="shared" si="9"/>
        <v>0</v>
      </c>
      <c r="J77" s="484">
        <f t="shared" si="9"/>
        <v>0</v>
      </c>
      <c r="K77" s="484">
        <f t="shared" si="9"/>
        <v>0</v>
      </c>
      <c r="L77" s="484">
        <f t="shared" si="9"/>
        <v>0</v>
      </c>
      <c r="M77" s="484">
        <f t="shared" si="9"/>
        <v>0</v>
      </c>
      <c r="N77" s="484">
        <f t="shared" si="9"/>
        <v>0</v>
      </c>
      <c r="O77" s="484">
        <f t="shared" si="9"/>
        <v>0</v>
      </c>
      <c r="P77" s="484">
        <f t="shared" si="9"/>
        <v>0</v>
      </c>
      <c r="Q77" s="484">
        <f t="shared" si="9"/>
        <v>0</v>
      </c>
      <c r="R77" s="484">
        <f t="shared" si="9"/>
        <v>0</v>
      </c>
      <c r="S77" s="484">
        <f t="shared" si="9"/>
        <v>0</v>
      </c>
      <c r="T77" s="484">
        <f t="shared" si="9"/>
        <v>0</v>
      </c>
      <c r="U77" s="484">
        <f t="shared" si="9"/>
        <v>0</v>
      </c>
      <c r="V77" s="484">
        <f t="shared" si="9"/>
        <v>0</v>
      </c>
      <c r="W77" s="484">
        <f t="shared" si="9"/>
        <v>0</v>
      </c>
      <c r="X77" s="484">
        <f t="shared" si="9"/>
        <v>0</v>
      </c>
      <c r="Y77" s="484">
        <f t="shared" si="9"/>
        <v>0</v>
      </c>
      <c r="Z77" s="484">
        <f t="shared" si="9"/>
        <v>0</v>
      </c>
      <c r="AA77" s="484">
        <f t="shared" si="9"/>
        <v>0</v>
      </c>
      <c r="AB77" s="484">
        <f t="shared" si="9"/>
        <v>0</v>
      </c>
      <c r="AC77" s="484">
        <f t="shared" si="9"/>
        <v>0</v>
      </c>
      <c r="AD77" s="484">
        <f t="shared" si="9"/>
        <v>0</v>
      </c>
      <c r="AE77" s="484">
        <f t="shared" si="9"/>
        <v>0</v>
      </c>
      <c r="AF77" s="484">
        <f t="shared" si="9"/>
        <v>0</v>
      </c>
      <c r="AG77" s="484">
        <f t="shared" si="9"/>
        <v>0</v>
      </c>
      <c r="AH77" s="484">
        <f t="shared" si="9"/>
        <v>0</v>
      </c>
      <c r="AI77" s="484">
        <f t="shared" si="9"/>
        <v>0</v>
      </c>
      <c r="AJ77" s="484">
        <f t="shared" si="9"/>
        <v>0</v>
      </c>
      <c r="AK77" s="485"/>
      <c r="AM77" s="18" t="s">
        <v>752</v>
      </c>
      <c r="AN77" s="18">
        <v>0.16500000000000001</v>
      </c>
      <c r="AO77" s="18">
        <v>0.16300000000000001</v>
      </c>
      <c r="AP77" s="18">
        <v>0.156</v>
      </c>
      <c r="AQ77" s="18">
        <v>0.156</v>
      </c>
      <c r="AR77" s="18">
        <v>0.185</v>
      </c>
    </row>
    <row r="78" spans="1:44" s="18" customFormat="1">
      <c r="A78" s="17" t="s">
        <v>53</v>
      </c>
      <c r="B78" s="491">
        <f>AN75</f>
        <v>1.038</v>
      </c>
      <c r="C78" s="491">
        <f t="shared" ref="C78:F78" si="10">AO75</f>
        <v>2.4380000000000002</v>
      </c>
      <c r="D78" s="491">
        <f t="shared" si="10"/>
        <v>3.657</v>
      </c>
      <c r="E78" s="491">
        <f t="shared" si="10"/>
        <v>3.5720000000000001</v>
      </c>
      <c r="F78" s="491">
        <f t="shared" si="10"/>
        <v>4.7450000000000001</v>
      </c>
      <c r="G78" s="484">
        <f t="shared" ref="G78:AJ78" si="11">G65*$AM63</f>
        <v>4.8004626000000004</v>
      </c>
      <c r="H78" s="484">
        <f t="shared" si="11"/>
        <v>5.4792620000000003</v>
      </c>
      <c r="I78" s="484">
        <f t="shared" si="11"/>
        <v>6.4474790000000004</v>
      </c>
      <c r="J78" s="484">
        <f t="shared" si="11"/>
        <v>6.467473</v>
      </c>
      <c r="K78" s="484">
        <f t="shared" si="11"/>
        <v>6.9198340000000007</v>
      </c>
      <c r="L78" s="484">
        <f t="shared" si="11"/>
        <v>7.1788872000000001</v>
      </c>
      <c r="M78" s="484">
        <f t="shared" si="11"/>
        <v>7.1793019999999999</v>
      </c>
      <c r="N78" s="484">
        <f t="shared" si="11"/>
        <v>7.1791260000000001</v>
      </c>
      <c r="O78" s="484">
        <f t="shared" si="11"/>
        <v>7.1787098</v>
      </c>
      <c r="P78" s="484">
        <f t="shared" si="11"/>
        <v>7.1785984000000003</v>
      </c>
      <c r="Q78" s="484">
        <f t="shared" si="11"/>
        <v>7.1785512000000002</v>
      </c>
      <c r="R78" s="484">
        <f t="shared" si="11"/>
        <v>7.1808902000000003</v>
      </c>
      <c r="S78" s="484">
        <f t="shared" si="11"/>
        <v>7.1793154000000001</v>
      </c>
      <c r="T78" s="484">
        <f t="shared" si="11"/>
        <v>7.1791922000000001</v>
      </c>
      <c r="U78" s="484">
        <f t="shared" si="11"/>
        <v>7.1861282000000006</v>
      </c>
      <c r="V78" s="484">
        <f t="shared" si="11"/>
        <v>7.1969660000000006</v>
      </c>
      <c r="W78" s="484">
        <f t="shared" si="11"/>
        <v>7.2072896000000002</v>
      </c>
      <c r="X78" s="484">
        <f t="shared" si="11"/>
        <v>7.2120716000000007</v>
      </c>
      <c r="Y78" s="484">
        <f t="shared" si="11"/>
        <v>7.2139563999999998</v>
      </c>
      <c r="Z78" s="484">
        <f t="shared" si="11"/>
        <v>7.2225808000000002</v>
      </c>
      <c r="AA78" s="484">
        <f t="shared" si="11"/>
        <v>7.2330488000000006</v>
      </c>
      <c r="AB78" s="484">
        <f t="shared" si="11"/>
        <v>7.2433920000000001</v>
      </c>
      <c r="AC78" s="484">
        <f t="shared" si="11"/>
        <v>7.2543754000000007</v>
      </c>
      <c r="AD78" s="484">
        <f t="shared" si="11"/>
        <v>7.300357</v>
      </c>
      <c r="AE78" s="484">
        <f t="shared" si="11"/>
        <v>7.3322304000000003</v>
      </c>
      <c r="AF78" s="484">
        <f t="shared" si="11"/>
        <v>7.9361704000000008</v>
      </c>
      <c r="AG78" s="484">
        <f t="shared" si="11"/>
        <v>8.631738799999999</v>
      </c>
      <c r="AH78" s="484">
        <f t="shared" si="11"/>
        <v>8.8223364000000011</v>
      </c>
      <c r="AI78" s="484">
        <f t="shared" si="11"/>
        <v>8.8901810000000001</v>
      </c>
      <c r="AJ78" s="484">
        <f t="shared" si="11"/>
        <v>9.0091142000000008</v>
      </c>
      <c r="AK78" s="485"/>
      <c r="AM78" s="18" t="s">
        <v>753</v>
      </c>
      <c r="AN78" s="18">
        <v>1.9E-2</v>
      </c>
      <c r="AO78" s="18">
        <v>1.2999999999999999E-2</v>
      </c>
      <c r="AP78" s="18">
        <v>1.2E-2</v>
      </c>
      <c r="AQ78" s="18">
        <v>1.0999999999999999E-2</v>
      </c>
      <c r="AR78" s="18">
        <v>1.0999999999999999E-2</v>
      </c>
    </row>
    <row r="79" spans="1:44" s="18" customFormat="1">
      <c r="A79" s="17" t="s">
        <v>54</v>
      </c>
      <c r="B79" s="493">
        <f>AN79</f>
        <v>84.51</v>
      </c>
      <c r="C79" s="493">
        <f t="shared" ref="C79:F79" si="12">AO79</f>
        <v>82.56</v>
      </c>
      <c r="D79" s="493">
        <f t="shared" si="12"/>
        <v>82.575000000000003</v>
      </c>
      <c r="E79" s="493">
        <f t="shared" si="12"/>
        <v>77.977000000000004</v>
      </c>
      <c r="F79" s="493">
        <f t="shared" si="12"/>
        <v>74.905000000000001</v>
      </c>
      <c r="G79" s="486">
        <f>SUM(G73:G78)</f>
        <v>95.62866913420703</v>
      </c>
      <c r="H79" s="486">
        <f t="shared" ref="H79:AJ79" si="13">SUM(H73:H78)</f>
        <v>90.966594517842907</v>
      </c>
      <c r="I79" s="486">
        <f t="shared" si="13"/>
        <v>77.091694280769048</v>
      </c>
      <c r="J79" s="486">
        <f t="shared" si="13"/>
        <v>78.615251910572411</v>
      </c>
      <c r="K79" s="486">
        <f t="shared" si="13"/>
        <v>80.26371520945024</v>
      </c>
      <c r="L79" s="486">
        <f t="shared" si="13"/>
        <v>81.848151514514569</v>
      </c>
      <c r="M79" s="486">
        <f t="shared" si="13"/>
        <v>82.914743038534425</v>
      </c>
      <c r="N79" s="486">
        <f t="shared" si="13"/>
        <v>82.844591829461294</v>
      </c>
      <c r="O79" s="486">
        <f t="shared" si="13"/>
        <v>83.163388265798858</v>
      </c>
      <c r="P79" s="486">
        <f t="shared" si="13"/>
        <v>83.246463058896126</v>
      </c>
      <c r="Q79" s="486">
        <f t="shared" si="13"/>
        <v>83.685032590391543</v>
      </c>
      <c r="R79" s="486">
        <f t="shared" si="13"/>
        <v>83.689222430193865</v>
      </c>
      <c r="S79" s="486">
        <f t="shared" si="13"/>
        <v>83.771444783990546</v>
      </c>
      <c r="T79" s="486">
        <f t="shared" si="13"/>
        <v>83.901341529280813</v>
      </c>
      <c r="U79" s="486">
        <f t="shared" si="13"/>
        <v>83.838829216986426</v>
      </c>
      <c r="V79" s="486">
        <f t="shared" si="13"/>
        <v>84.034781749981278</v>
      </c>
      <c r="W79" s="486">
        <f t="shared" si="13"/>
        <v>84.097741876166253</v>
      </c>
      <c r="X79" s="486">
        <f t="shared" si="13"/>
        <v>84.130311934318541</v>
      </c>
      <c r="Y79" s="486">
        <f t="shared" si="13"/>
        <v>84.565707690171507</v>
      </c>
      <c r="Z79" s="486">
        <f t="shared" si="13"/>
        <v>84.614513335481789</v>
      </c>
      <c r="AA79" s="486">
        <f t="shared" si="13"/>
        <v>84.820853095401105</v>
      </c>
      <c r="AB79" s="486">
        <f t="shared" si="13"/>
        <v>84.939533817340745</v>
      </c>
      <c r="AC79" s="486">
        <f t="shared" si="13"/>
        <v>85.055350053926901</v>
      </c>
      <c r="AD79" s="486">
        <f t="shared" si="13"/>
        <v>85.170021422640872</v>
      </c>
      <c r="AE79" s="486">
        <f t="shared" si="13"/>
        <v>85.364277068281098</v>
      </c>
      <c r="AF79" s="486">
        <f t="shared" si="13"/>
        <v>86.086757763517824</v>
      </c>
      <c r="AG79" s="486">
        <f t="shared" si="13"/>
        <v>86.867445312852098</v>
      </c>
      <c r="AH79" s="486">
        <f t="shared" si="13"/>
        <v>87.129815172168051</v>
      </c>
      <c r="AI79" s="486">
        <f t="shared" si="13"/>
        <v>87.631254576974698</v>
      </c>
      <c r="AJ79" s="486">
        <f t="shared" si="13"/>
        <v>87.853006997285576</v>
      </c>
      <c r="AK79" s="487"/>
      <c r="AM79" s="18" t="s">
        <v>58</v>
      </c>
      <c r="AN79" s="18">
        <v>84.51</v>
      </c>
      <c r="AO79" s="18">
        <v>82.56</v>
      </c>
      <c r="AP79" s="18">
        <v>82.575000000000003</v>
      </c>
      <c r="AQ79" s="18">
        <v>77.977000000000004</v>
      </c>
      <c r="AR79" s="18">
        <v>74.905000000000001</v>
      </c>
    </row>
    <row r="80" spans="1:44" s="255" customFormat="1">
      <c r="A80" s="254" t="s">
        <v>57</v>
      </c>
      <c r="B80" s="474">
        <f>B79*1000</f>
        <v>84510</v>
      </c>
      <c r="C80" s="474">
        <f t="shared" ref="C80:AJ80" si="14">C79*1000</f>
        <v>82560</v>
      </c>
      <c r="D80" s="474">
        <f t="shared" si="14"/>
        <v>82575</v>
      </c>
      <c r="E80" s="474">
        <f t="shared" si="14"/>
        <v>77977</v>
      </c>
      <c r="F80" s="474">
        <f t="shared" si="14"/>
        <v>74905</v>
      </c>
      <c r="G80" s="276">
        <f t="shared" si="14"/>
        <v>95628.669134207026</v>
      </c>
      <c r="H80" s="276">
        <f t="shared" si="14"/>
        <v>90966.59451784291</v>
      </c>
      <c r="I80" s="276">
        <f t="shared" si="14"/>
        <v>77091.69428076905</v>
      </c>
      <c r="J80" s="276">
        <f t="shared" si="14"/>
        <v>78615.251910572406</v>
      </c>
      <c r="K80" s="276">
        <f t="shared" si="14"/>
        <v>80263.715209450238</v>
      </c>
      <c r="L80" s="276">
        <f t="shared" si="14"/>
        <v>81848.151514514568</v>
      </c>
      <c r="M80" s="276">
        <f t="shared" si="14"/>
        <v>82914.74303853442</v>
      </c>
      <c r="N80" s="276">
        <f t="shared" si="14"/>
        <v>82844.591829461293</v>
      </c>
      <c r="O80" s="276">
        <f t="shared" si="14"/>
        <v>83163.388265798858</v>
      </c>
      <c r="P80" s="276">
        <f t="shared" si="14"/>
        <v>83246.46305889613</v>
      </c>
      <c r="Q80" s="276">
        <f t="shared" si="14"/>
        <v>83685.032590391536</v>
      </c>
      <c r="R80" s="276">
        <f t="shared" si="14"/>
        <v>83689.22243019387</v>
      </c>
      <c r="S80" s="276">
        <f t="shared" si="14"/>
        <v>83771.444783990548</v>
      </c>
      <c r="T80" s="276">
        <f t="shared" si="14"/>
        <v>83901.34152928082</v>
      </c>
      <c r="U80" s="276">
        <f t="shared" si="14"/>
        <v>83838.829216986429</v>
      </c>
      <c r="V80" s="276">
        <f t="shared" si="14"/>
        <v>84034.781749981281</v>
      </c>
      <c r="W80" s="276">
        <f t="shared" si="14"/>
        <v>84097.741876166256</v>
      </c>
      <c r="X80" s="276">
        <f t="shared" si="14"/>
        <v>84130.311934318539</v>
      </c>
      <c r="Y80" s="276">
        <f t="shared" si="14"/>
        <v>84565.707690171505</v>
      </c>
      <c r="Z80" s="276">
        <f t="shared" si="14"/>
        <v>84614.513335481795</v>
      </c>
      <c r="AA80" s="276">
        <f t="shared" si="14"/>
        <v>84820.853095401108</v>
      </c>
      <c r="AB80" s="276">
        <f t="shared" si="14"/>
        <v>84939.533817340751</v>
      </c>
      <c r="AC80" s="276">
        <f t="shared" si="14"/>
        <v>85055.350053926901</v>
      </c>
      <c r="AD80" s="276">
        <f t="shared" si="14"/>
        <v>85170.021422640872</v>
      </c>
      <c r="AE80" s="276">
        <f t="shared" si="14"/>
        <v>85364.277068281095</v>
      </c>
      <c r="AF80" s="276">
        <f t="shared" si="14"/>
        <v>86086.757763517817</v>
      </c>
      <c r="AG80" s="276">
        <f t="shared" si="14"/>
        <v>86867.445312852098</v>
      </c>
      <c r="AH80" s="276">
        <f t="shared" si="14"/>
        <v>87129.815172168048</v>
      </c>
      <c r="AI80" s="276">
        <f t="shared" si="14"/>
        <v>87631.254576974694</v>
      </c>
      <c r="AJ80" s="276">
        <f t="shared" si="14"/>
        <v>87853.006997285571</v>
      </c>
      <c r="AK80" s="321"/>
    </row>
    <row r="81" spans="1:37" s="256" customFormat="1">
      <c r="A81" s="257" t="s">
        <v>339</v>
      </c>
      <c r="B81" s="260">
        <f t="shared" ref="B81:Q82" si="15">B74/SUM(B$74:B$78)</f>
        <v>0</v>
      </c>
      <c r="C81" s="260">
        <f>C74/SUM(C$74:C$78)</f>
        <v>0</v>
      </c>
      <c r="D81" s="260">
        <f t="shared" si="15"/>
        <v>0</v>
      </c>
      <c r="E81" s="260">
        <f t="shared" si="15"/>
        <v>0</v>
      </c>
      <c r="F81" s="260">
        <f t="shared" si="15"/>
        <v>0</v>
      </c>
      <c r="G81" s="260">
        <f t="shared" si="15"/>
        <v>3.0500486045956439E-7</v>
      </c>
      <c r="H81" s="260">
        <f t="shared" si="15"/>
        <v>2.8621415971640434E-7</v>
      </c>
      <c r="I81" s="260">
        <f t="shared" si="15"/>
        <v>2.972938796835193E-7</v>
      </c>
      <c r="J81" s="260">
        <f t="shared" si="15"/>
        <v>3.2205665929697189E-7</v>
      </c>
      <c r="K81" s="260">
        <f t="shared" si="15"/>
        <v>3.0391545746396237E-7</v>
      </c>
      <c r="L81" s="260">
        <f t="shared" si="15"/>
        <v>3.8210121924639854E-7</v>
      </c>
      <c r="M81" s="260">
        <f t="shared" si="15"/>
        <v>5.0164058375926067E-7</v>
      </c>
      <c r="N81" s="260">
        <f t="shared" si="15"/>
        <v>5.6942794036648292E-7</v>
      </c>
      <c r="O81" s="260">
        <f t="shared" si="15"/>
        <v>5.7049481709526699E-7</v>
      </c>
      <c r="P81" s="260">
        <f t="shared" si="15"/>
        <v>5.6689536054754415E-7</v>
      </c>
      <c r="Q81" s="260">
        <f t="shared" si="15"/>
        <v>6.0399835263547843E-7</v>
      </c>
      <c r="R81" s="260">
        <f t="shared" ref="R81:AJ82" si="16">R74/SUM(R$74:R$78)</f>
        <v>6.7229128643183047E-7</v>
      </c>
      <c r="S81" s="260">
        <f t="shared" si="16"/>
        <v>7.4906964172661932E-7</v>
      </c>
      <c r="T81" s="260">
        <f t="shared" si="16"/>
        <v>8.2504285370224596E-7</v>
      </c>
      <c r="U81" s="260">
        <f t="shared" si="16"/>
        <v>9.0327444824036704E-7</v>
      </c>
      <c r="V81" s="260">
        <f t="shared" si="16"/>
        <v>9.7499221489695994E-7</v>
      </c>
      <c r="W81" s="260">
        <f t="shared" si="16"/>
        <v>1.0489487950669625E-6</v>
      </c>
      <c r="X81" s="260">
        <f t="shared" si="16"/>
        <v>1.0888322755799039E-6</v>
      </c>
      <c r="Y81" s="260">
        <f t="shared" si="16"/>
        <v>1.1002032725343697E-6</v>
      </c>
      <c r="Z81" s="260">
        <f t="shared" si="16"/>
        <v>1.1359190235784461E-6</v>
      </c>
      <c r="AA81" s="260">
        <f t="shared" si="16"/>
        <v>1.226071886426301E-6</v>
      </c>
      <c r="AB81" s="260">
        <f t="shared" si="16"/>
        <v>1.3757304548707104E-6</v>
      </c>
      <c r="AC81" s="260">
        <f t="shared" si="16"/>
        <v>1.500495718096382E-6</v>
      </c>
      <c r="AD81" s="260">
        <f t="shared" si="16"/>
        <v>1.623003362611139E-6</v>
      </c>
      <c r="AE81" s="260">
        <f t="shared" si="16"/>
        <v>1.6530185823797746E-6</v>
      </c>
      <c r="AF81" s="260">
        <f t="shared" si="16"/>
        <v>1.5802841731417726E-6</v>
      </c>
      <c r="AG81" s="260">
        <f t="shared" si="16"/>
        <v>1.5022560104928045E-6</v>
      </c>
      <c r="AH81" s="260">
        <f t="shared" si="16"/>
        <v>1.5046159584681139E-6</v>
      </c>
      <c r="AI81" s="260">
        <f t="shared" si="16"/>
        <v>1.5234539256120124E-6</v>
      </c>
      <c r="AJ81" s="260">
        <f t="shared" si="16"/>
        <v>1.5019537818006921E-6</v>
      </c>
      <c r="AK81" s="322"/>
    </row>
    <row r="82" spans="1:37" s="256" customFormat="1">
      <c r="A82" s="257" t="s">
        <v>340</v>
      </c>
      <c r="B82" s="260">
        <f t="shared" si="15"/>
        <v>6.6425120772946863E-2</v>
      </c>
      <c r="C82" s="260">
        <f t="shared" ref="C82:AA82" si="17">C75/SUM(C$74:C$78)</f>
        <v>4.3852569276298083E-2</v>
      </c>
      <c r="D82" s="260">
        <f t="shared" si="17"/>
        <v>3.1668696711327646E-2</v>
      </c>
      <c r="E82" s="260">
        <f t="shared" si="17"/>
        <v>3.0995430160937813E-2</v>
      </c>
      <c r="F82" s="260">
        <f t="shared" si="17"/>
        <v>2.8004844081138361E-2</v>
      </c>
      <c r="G82" s="260">
        <f t="shared" si="17"/>
        <v>4.9852916565360096E-2</v>
      </c>
      <c r="H82" s="260">
        <f t="shared" si="17"/>
        <v>5.2796276602308768E-2</v>
      </c>
      <c r="I82" s="260">
        <f t="shared" si="17"/>
        <v>5.5086365727300052E-2</v>
      </c>
      <c r="J82" s="260">
        <f t="shared" si="17"/>
        <v>4.8895329061338061E-2</v>
      </c>
      <c r="K82" s="260">
        <f t="shared" si="17"/>
        <v>5.1564850387141252E-2</v>
      </c>
      <c r="L82" s="260">
        <f t="shared" si="17"/>
        <v>4.4494083074719915E-2</v>
      </c>
      <c r="M82" s="260">
        <f t="shared" si="17"/>
        <v>4.8467441131520454E-2</v>
      </c>
      <c r="N82" s="260">
        <f t="shared" si="17"/>
        <v>3.7106375349947623E-2</v>
      </c>
      <c r="O82" s="260">
        <f t="shared" si="17"/>
        <v>4.6354760954631723E-2</v>
      </c>
      <c r="P82" s="261">
        <f t="shared" si="17"/>
        <v>5.0663568007014423E-2</v>
      </c>
      <c r="Q82" s="260">
        <f t="shared" si="17"/>
        <v>4.5692268915693404E-2</v>
      </c>
      <c r="R82" s="260">
        <f t="shared" si="17"/>
        <v>4.0546209327725215E-2</v>
      </c>
      <c r="S82" s="260">
        <f t="shared" si="17"/>
        <v>4.4845918524275601E-2</v>
      </c>
      <c r="T82" s="260">
        <f t="shared" si="17"/>
        <v>4.9436144201173003E-2</v>
      </c>
      <c r="U82" s="260">
        <f t="shared" si="17"/>
        <v>3.9843568393458581E-2</v>
      </c>
      <c r="V82" s="260">
        <f t="shared" si="17"/>
        <v>4.3526665163351907E-2</v>
      </c>
      <c r="W82" s="260">
        <f t="shared" si="17"/>
        <v>4.3237766936064931E-2</v>
      </c>
      <c r="X82" s="260">
        <f t="shared" si="17"/>
        <v>4.3699751611990009E-2</v>
      </c>
      <c r="Y82" s="260">
        <f t="shared" si="17"/>
        <v>3.8165205366531681E-2</v>
      </c>
      <c r="Z82" s="260">
        <f t="shared" si="17"/>
        <v>3.8180410321937218E-2</v>
      </c>
      <c r="AA82" s="260">
        <f t="shared" si="17"/>
        <v>4.2715774490205756E-2</v>
      </c>
      <c r="AB82" s="260">
        <f t="shared" si="16"/>
        <v>3.7093995676087552E-2</v>
      </c>
      <c r="AC82" s="260">
        <f t="shared" si="16"/>
        <v>4.1495135833107613E-2</v>
      </c>
      <c r="AD82" s="260">
        <f t="shared" si="16"/>
        <v>4.1111554701891352E-2</v>
      </c>
      <c r="AE82" s="260">
        <f t="shared" si="16"/>
        <v>3.6049272908234745E-2</v>
      </c>
      <c r="AF82" s="260">
        <f t="shared" si="16"/>
        <v>3.8263294131247252E-2</v>
      </c>
      <c r="AG82" s="260">
        <f t="shared" si="16"/>
        <v>3.1632920619861199E-2</v>
      </c>
      <c r="AH82" s="260">
        <f t="shared" si="16"/>
        <v>3.102175048290914E-2</v>
      </c>
      <c r="AI82" s="260">
        <f t="shared" si="16"/>
        <v>3.0624686089858529E-2</v>
      </c>
      <c r="AJ82" s="260">
        <f t="shared" si="16"/>
        <v>3.0720926115944742E-2</v>
      </c>
      <c r="AK82" s="322"/>
    </row>
    <row r="83" spans="1:37" s="256" customFormat="1">
      <c r="A83" s="257" t="s">
        <v>336</v>
      </c>
      <c r="B83" s="260">
        <f>B76/SUM(B$74:B$78)</f>
        <v>0.5157004830917874</v>
      </c>
      <c r="C83" s="260">
        <f t="shared" ref="C83:AJ83" si="18">C76/SUM(C$74:C$78)</f>
        <v>0.3002421307506053</v>
      </c>
      <c r="D83" s="260">
        <f t="shared" si="18"/>
        <v>0.22594397076735687</v>
      </c>
      <c r="E83" s="260">
        <f t="shared" si="18"/>
        <v>0.25928869461553744</v>
      </c>
      <c r="F83" s="260">
        <f t="shared" si="18"/>
        <v>0.25370874962155615</v>
      </c>
      <c r="G83" s="260">
        <f t="shared" si="18"/>
        <v>0.20083028638558401</v>
      </c>
      <c r="H83" s="260">
        <f t="shared" si="18"/>
        <v>0.17543061769729859</v>
      </c>
      <c r="I83" s="260">
        <f t="shared" si="18"/>
        <v>0.1507732617458177</v>
      </c>
      <c r="J83" s="260">
        <f t="shared" si="18"/>
        <v>0.16000884796197362</v>
      </c>
      <c r="K83" s="260">
        <f t="shared" si="18"/>
        <v>0.14968557941276348</v>
      </c>
      <c r="L83" s="260">
        <f t="shared" si="18"/>
        <v>0.15637277631569782</v>
      </c>
      <c r="M83" s="260">
        <f t="shared" si="18"/>
        <v>0.16784413059723075</v>
      </c>
      <c r="N83" s="260">
        <f t="shared" si="18"/>
        <v>0.1997231909460169</v>
      </c>
      <c r="O83" s="260">
        <f t="shared" si="18"/>
        <v>0.2155313223985417</v>
      </c>
      <c r="P83" s="261">
        <f t="shared" si="18"/>
        <v>0.21748705034977173</v>
      </c>
      <c r="Q83" s="260">
        <f t="shared" si="18"/>
        <v>0.22682286832892981</v>
      </c>
      <c r="R83" s="260">
        <f t="shared" si="18"/>
        <v>0.2320424676592921</v>
      </c>
      <c r="S83" s="260">
        <f t="shared" si="18"/>
        <v>0.23391002228214849</v>
      </c>
      <c r="T83" s="260">
        <f t="shared" si="18"/>
        <v>0.23862263135949083</v>
      </c>
      <c r="U83" s="260">
        <f t="shared" si="18"/>
        <v>0.24308204402816458</v>
      </c>
      <c r="V83" s="260">
        <f t="shared" si="18"/>
        <v>0.2520910004731845</v>
      </c>
      <c r="W83" s="260">
        <f t="shared" si="18"/>
        <v>0.25568946033579681</v>
      </c>
      <c r="X83" s="260">
        <f t="shared" si="18"/>
        <v>0.25697784977518434</v>
      </c>
      <c r="Y83" s="260">
        <f t="shared" si="18"/>
        <v>0.26161803690760077</v>
      </c>
      <c r="Z83" s="260">
        <f t="shared" si="18"/>
        <v>0.26407109658657313</v>
      </c>
      <c r="AA83" s="260">
        <f t="shared" si="18"/>
        <v>0.26584543911869374</v>
      </c>
      <c r="AB83" s="260">
        <f t="shared" si="18"/>
        <v>0.27824586564538778</v>
      </c>
      <c r="AC83" s="260">
        <f t="shared" si="18"/>
        <v>0.28023158204621157</v>
      </c>
      <c r="AD83" s="260">
        <f t="shared" si="18"/>
        <v>0.28355644662105356</v>
      </c>
      <c r="AE83" s="260">
        <f t="shared" si="18"/>
        <v>0.28891195347713555</v>
      </c>
      <c r="AF83" s="260">
        <f t="shared" si="18"/>
        <v>0.27666250927464087</v>
      </c>
      <c r="AG83" s="260">
        <f t="shared" si="18"/>
        <v>0.27029438339145445</v>
      </c>
      <c r="AH83" s="260">
        <f t="shared" si="18"/>
        <v>0.27031738367586405</v>
      </c>
      <c r="AI83" s="260">
        <f t="shared" si="18"/>
        <v>0.2740213986701871</v>
      </c>
      <c r="AJ83" s="260">
        <f t="shared" si="18"/>
        <v>0.27663668071562864</v>
      </c>
      <c r="AK83" s="322"/>
    </row>
    <row r="84" spans="1:37" s="256" customFormat="1">
      <c r="A84" s="257" t="s">
        <v>338</v>
      </c>
      <c r="B84" s="260">
        <f>B77/SUM(B$74:B$78)</f>
        <v>0</v>
      </c>
      <c r="C84" s="260">
        <f t="shared" ref="C84:AJ84" si="19">C77/SUM(C$74:C$78)</f>
        <v>0</v>
      </c>
      <c r="D84" s="260">
        <f t="shared" si="19"/>
        <v>0</v>
      </c>
      <c r="E84" s="260">
        <f t="shared" si="19"/>
        <v>0</v>
      </c>
      <c r="F84" s="260">
        <f t="shared" si="19"/>
        <v>0</v>
      </c>
      <c r="G84" s="260">
        <f t="shared" si="19"/>
        <v>0</v>
      </c>
      <c r="H84" s="260">
        <f t="shared" si="19"/>
        <v>0</v>
      </c>
      <c r="I84" s="260">
        <f t="shared" si="19"/>
        <v>0</v>
      </c>
      <c r="J84" s="260">
        <f t="shared" si="19"/>
        <v>0</v>
      </c>
      <c r="K84" s="260">
        <f t="shared" si="19"/>
        <v>0</v>
      </c>
      <c r="L84" s="260">
        <f t="shared" si="19"/>
        <v>0</v>
      </c>
      <c r="M84" s="260">
        <f t="shared" si="19"/>
        <v>0</v>
      </c>
      <c r="N84" s="260">
        <f t="shared" si="19"/>
        <v>0</v>
      </c>
      <c r="O84" s="260">
        <f t="shared" si="19"/>
        <v>0</v>
      </c>
      <c r="P84" s="261">
        <f t="shared" si="19"/>
        <v>0</v>
      </c>
      <c r="Q84" s="260">
        <f t="shared" si="19"/>
        <v>0</v>
      </c>
      <c r="R84" s="260">
        <f t="shared" si="19"/>
        <v>0</v>
      </c>
      <c r="S84" s="260">
        <f t="shared" si="19"/>
        <v>0</v>
      </c>
      <c r="T84" s="260">
        <f t="shared" si="19"/>
        <v>0</v>
      </c>
      <c r="U84" s="260">
        <f t="shared" si="19"/>
        <v>0</v>
      </c>
      <c r="V84" s="260">
        <f t="shared" si="19"/>
        <v>0</v>
      </c>
      <c r="W84" s="260">
        <f t="shared" si="19"/>
        <v>0</v>
      </c>
      <c r="X84" s="260">
        <f t="shared" si="19"/>
        <v>0</v>
      </c>
      <c r="Y84" s="260">
        <f t="shared" si="19"/>
        <v>0</v>
      </c>
      <c r="Z84" s="260">
        <f t="shared" si="19"/>
        <v>0</v>
      </c>
      <c r="AA84" s="260">
        <f t="shared" si="19"/>
        <v>0</v>
      </c>
      <c r="AB84" s="260">
        <f t="shared" si="19"/>
        <v>0</v>
      </c>
      <c r="AC84" s="260">
        <f t="shared" si="19"/>
        <v>0</v>
      </c>
      <c r="AD84" s="260">
        <f t="shared" si="19"/>
        <v>0</v>
      </c>
      <c r="AE84" s="260">
        <f t="shared" si="19"/>
        <v>0</v>
      </c>
      <c r="AF84" s="260">
        <f t="shared" si="19"/>
        <v>0</v>
      </c>
      <c r="AG84" s="260">
        <f t="shared" si="19"/>
        <v>0</v>
      </c>
      <c r="AH84" s="260">
        <f t="shared" si="19"/>
        <v>0</v>
      </c>
      <c r="AI84" s="260">
        <f t="shared" si="19"/>
        <v>0</v>
      </c>
      <c r="AJ84" s="260">
        <f t="shared" si="19"/>
        <v>0</v>
      </c>
      <c r="AK84" s="322"/>
    </row>
    <row r="85" spans="1:37" s="256" customFormat="1">
      <c r="A85" s="257" t="s">
        <v>337</v>
      </c>
      <c r="B85" s="260">
        <f>B78/SUM(B$74:B$78)</f>
        <v>0.41787439613526572</v>
      </c>
      <c r="C85" s="260">
        <f t="shared" ref="C85:AJ85" si="20">C78/SUM(C$74:C$78)</f>
        <v>0.65590529997309654</v>
      </c>
      <c r="D85" s="260">
        <f t="shared" si="20"/>
        <v>0.7423873325213155</v>
      </c>
      <c r="E85" s="260">
        <f t="shared" si="20"/>
        <v>0.70971587522352486</v>
      </c>
      <c r="F85" s="260">
        <f t="shared" si="20"/>
        <v>0.71828640629730556</v>
      </c>
      <c r="G85" s="260">
        <f t="shared" si="20"/>
        <v>0.74931649204419537</v>
      </c>
      <c r="H85" s="260">
        <f t="shared" si="20"/>
        <v>0.77177281948623289</v>
      </c>
      <c r="I85" s="260">
        <f t="shared" si="20"/>
        <v>0.79414007523300267</v>
      </c>
      <c r="J85" s="260">
        <f t="shared" si="20"/>
        <v>0.79109550092002912</v>
      </c>
      <c r="K85" s="260">
        <f t="shared" si="20"/>
        <v>0.79874926628463772</v>
      </c>
      <c r="L85" s="260">
        <f t="shared" si="20"/>
        <v>0.79913275850836296</v>
      </c>
      <c r="M85" s="260">
        <f t="shared" si="20"/>
        <v>0.783687926630665</v>
      </c>
      <c r="N85" s="260">
        <f t="shared" si="20"/>
        <v>0.76316986427609512</v>
      </c>
      <c r="O85" s="260">
        <f t="shared" si="20"/>
        <v>0.73811334615200941</v>
      </c>
      <c r="P85" s="261">
        <f t="shared" si="20"/>
        <v>0.73184881474785324</v>
      </c>
      <c r="Q85" s="260">
        <f t="shared" si="20"/>
        <v>0.72748425875702416</v>
      </c>
      <c r="R85" s="260">
        <f t="shared" si="20"/>
        <v>0.72741065072169631</v>
      </c>
      <c r="S85" s="260">
        <f t="shared" si="20"/>
        <v>0.72124331012393428</v>
      </c>
      <c r="T85" s="260">
        <f t="shared" si="20"/>
        <v>0.71194039939648235</v>
      </c>
      <c r="U85" s="260">
        <f t="shared" si="20"/>
        <v>0.71707348430392859</v>
      </c>
      <c r="V85" s="260">
        <f t="shared" si="20"/>
        <v>0.70438135937124879</v>
      </c>
      <c r="W85" s="260">
        <f t="shared" si="20"/>
        <v>0.70107172377934324</v>
      </c>
      <c r="X85" s="260">
        <f t="shared" si="20"/>
        <v>0.69932130978055007</v>
      </c>
      <c r="Y85" s="260">
        <f t="shared" si="20"/>
        <v>0.70021565752259496</v>
      </c>
      <c r="Z85" s="260">
        <f t="shared" si="20"/>
        <v>0.69774735717246605</v>
      </c>
      <c r="AA85" s="260">
        <f t="shared" si="20"/>
        <v>0.691437560319214</v>
      </c>
      <c r="AB85" s="260">
        <f t="shared" si="20"/>
        <v>0.68465876294806982</v>
      </c>
      <c r="AC85" s="260">
        <f t="shared" si="20"/>
        <v>0.67827178162496271</v>
      </c>
      <c r="AD85" s="260">
        <f t="shared" si="20"/>
        <v>0.67533037567369258</v>
      </c>
      <c r="AE85" s="260">
        <f t="shared" si="20"/>
        <v>0.67503712059604737</v>
      </c>
      <c r="AF85" s="260">
        <f t="shared" si="20"/>
        <v>0.68507261630993876</v>
      </c>
      <c r="AG85" s="260">
        <f t="shared" si="20"/>
        <v>0.6980711937326739</v>
      </c>
      <c r="AH85" s="260">
        <f t="shared" si="20"/>
        <v>0.69865936122526828</v>
      </c>
      <c r="AI85" s="260">
        <f t="shared" si="20"/>
        <v>0.69535239178602881</v>
      </c>
      <c r="AJ85" s="260">
        <f t="shared" si="20"/>
        <v>0.69264089121464467</v>
      </c>
      <c r="AK85" s="322"/>
    </row>
    <row r="86" spans="1:37" s="256" customFormat="1">
      <c r="A86" s="256" t="s">
        <v>341</v>
      </c>
      <c r="B86" s="260">
        <f>SUM(B81:B85)</f>
        <v>1</v>
      </c>
      <c r="C86" s="260">
        <f t="shared" ref="C86:AJ86" si="21">SUM(C81:C85)</f>
        <v>1</v>
      </c>
      <c r="D86" s="260">
        <f t="shared" si="21"/>
        <v>1</v>
      </c>
      <c r="E86" s="260">
        <f t="shared" si="21"/>
        <v>1</v>
      </c>
      <c r="F86" s="260">
        <f t="shared" si="21"/>
        <v>1</v>
      </c>
      <c r="G86" s="260">
        <f t="shared" si="21"/>
        <v>1</v>
      </c>
      <c r="H86" s="260">
        <f t="shared" si="21"/>
        <v>1</v>
      </c>
      <c r="I86" s="260">
        <f t="shared" si="21"/>
        <v>1</v>
      </c>
      <c r="J86" s="260">
        <f t="shared" si="21"/>
        <v>1</v>
      </c>
      <c r="K86" s="260">
        <f t="shared" si="21"/>
        <v>0.99999999999999989</v>
      </c>
      <c r="L86" s="260">
        <f t="shared" si="21"/>
        <v>1</v>
      </c>
      <c r="M86" s="260">
        <f t="shared" si="21"/>
        <v>1</v>
      </c>
      <c r="N86" s="260">
        <f t="shared" si="21"/>
        <v>1</v>
      </c>
      <c r="O86" s="260">
        <f t="shared" si="21"/>
        <v>1</v>
      </c>
      <c r="P86" s="260">
        <f t="shared" si="21"/>
        <v>1</v>
      </c>
      <c r="Q86" s="260">
        <f t="shared" si="21"/>
        <v>1</v>
      </c>
      <c r="R86" s="260">
        <f t="shared" si="21"/>
        <v>1</v>
      </c>
      <c r="S86" s="260">
        <f t="shared" si="21"/>
        <v>1</v>
      </c>
      <c r="T86" s="260">
        <f t="shared" si="21"/>
        <v>0.99999999999999989</v>
      </c>
      <c r="U86" s="260">
        <f t="shared" si="21"/>
        <v>1</v>
      </c>
      <c r="V86" s="260">
        <f t="shared" si="21"/>
        <v>1</v>
      </c>
      <c r="W86" s="260">
        <f t="shared" si="21"/>
        <v>1</v>
      </c>
      <c r="X86" s="260">
        <f t="shared" si="21"/>
        <v>1</v>
      </c>
      <c r="Y86" s="260">
        <f t="shared" si="21"/>
        <v>1</v>
      </c>
      <c r="Z86" s="260">
        <f t="shared" si="21"/>
        <v>1</v>
      </c>
      <c r="AA86" s="260">
        <f t="shared" si="21"/>
        <v>0.99999999999999989</v>
      </c>
      <c r="AB86" s="260">
        <f t="shared" si="21"/>
        <v>1</v>
      </c>
      <c r="AC86" s="260">
        <f t="shared" si="21"/>
        <v>1</v>
      </c>
      <c r="AD86" s="260">
        <f t="shared" si="21"/>
        <v>1</v>
      </c>
      <c r="AE86" s="260">
        <f t="shared" si="21"/>
        <v>1</v>
      </c>
      <c r="AF86" s="260">
        <f t="shared" si="21"/>
        <v>1</v>
      </c>
      <c r="AG86" s="260">
        <f t="shared" si="21"/>
        <v>1</v>
      </c>
      <c r="AH86" s="260">
        <f t="shared" si="21"/>
        <v>1</v>
      </c>
      <c r="AI86" s="260">
        <f t="shared" si="21"/>
        <v>1</v>
      </c>
      <c r="AJ86" s="260">
        <f t="shared" si="21"/>
        <v>0.99999999999999978</v>
      </c>
      <c r="AK86" s="322"/>
    </row>
    <row r="87" spans="1:37">
      <c r="A87" s="564" t="s">
        <v>632</v>
      </c>
      <c r="B87" s="564"/>
      <c r="C87" s="564"/>
      <c r="D87" s="564"/>
      <c r="E87" s="564"/>
      <c r="F87" s="564"/>
      <c r="G87" s="564"/>
      <c r="H87" s="564"/>
      <c r="I87" s="564"/>
      <c r="J87" s="564"/>
      <c r="K87" s="564"/>
      <c r="L87" s="564"/>
      <c r="M87" s="564"/>
      <c r="N87" s="564"/>
      <c r="O87" s="564"/>
      <c r="P87" s="564"/>
      <c r="Q87" s="564"/>
      <c r="R87" s="564"/>
      <c r="S87" s="564"/>
      <c r="T87" s="564"/>
      <c r="U87" s="564"/>
      <c r="V87" s="564"/>
      <c r="W87" s="564"/>
      <c r="X87" s="564"/>
      <c r="Y87" s="564"/>
      <c r="Z87" s="564"/>
      <c r="AA87" s="564"/>
      <c r="AB87" s="564"/>
      <c r="AC87" s="564"/>
      <c r="AD87" s="564"/>
      <c r="AE87" s="564"/>
      <c r="AF87" s="564"/>
    </row>
    <row r="88" spans="1:37">
      <c r="A88" s="565" t="s">
        <v>665</v>
      </c>
      <c r="B88" s="565"/>
      <c r="C88" s="565"/>
      <c r="D88" s="565"/>
      <c r="E88" s="565"/>
      <c r="F88" s="565"/>
      <c r="G88" s="565"/>
      <c r="H88" s="565"/>
      <c r="I88" s="565"/>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row>
    <row r="89" spans="1:37">
      <c r="A89" s="565" t="s">
        <v>666</v>
      </c>
      <c r="B89" s="565"/>
      <c r="C89" s="565"/>
      <c r="D89" s="565"/>
      <c r="E89" s="565"/>
      <c r="F89" s="565"/>
      <c r="G89" s="565"/>
      <c r="H89" s="565"/>
      <c r="I89" s="565"/>
      <c r="J89" s="565"/>
      <c r="K89" s="565"/>
      <c r="L89" s="565"/>
      <c r="M89" s="565"/>
      <c r="N89" s="565"/>
      <c r="O89" s="565"/>
      <c r="P89" s="565"/>
      <c r="Q89" s="565"/>
      <c r="R89" s="565"/>
      <c r="S89" s="565"/>
      <c r="T89" s="565"/>
      <c r="U89" s="565"/>
      <c r="V89" s="565"/>
      <c r="W89" s="565"/>
      <c r="X89" s="565"/>
      <c r="Y89" s="565"/>
      <c r="Z89" s="565"/>
      <c r="AA89" s="565"/>
      <c r="AB89" s="565"/>
      <c r="AC89" s="565"/>
      <c r="AD89" s="565"/>
      <c r="AE89" s="565"/>
      <c r="AF89" s="565"/>
    </row>
    <row r="90" spans="1:37">
      <c r="A90" s="565" t="s">
        <v>667</v>
      </c>
      <c r="B90" s="565"/>
      <c r="C90" s="565"/>
      <c r="D90" s="565"/>
      <c r="E90" s="565"/>
      <c r="F90" s="565"/>
      <c r="G90" s="565"/>
      <c r="H90" s="565"/>
      <c r="I90" s="565"/>
      <c r="J90" s="565"/>
      <c r="K90" s="565"/>
      <c r="L90" s="565"/>
      <c r="M90" s="565"/>
      <c r="N90" s="565"/>
      <c r="O90" s="565"/>
      <c r="P90" s="565"/>
      <c r="Q90" s="565"/>
      <c r="R90" s="565"/>
      <c r="S90" s="565"/>
      <c r="T90" s="565"/>
      <c r="U90" s="565"/>
      <c r="V90" s="565"/>
      <c r="W90" s="565"/>
      <c r="X90" s="565"/>
      <c r="Y90" s="565"/>
      <c r="Z90" s="565"/>
      <c r="AA90" s="565"/>
      <c r="AB90" s="565"/>
      <c r="AC90" s="565"/>
      <c r="AD90" s="565"/>
      <c r="AE90" s="565"/>
      <c r="AF90" s="565"/>
    </row>
    <row r="91" spans="1:37">
      <c r="A91" s="565" t="s">
        <v>668</v>
      </c>
      <c r="B91" s="565"/>
      <c r="C91" s="565"/>
      <c r="D91" s="565"/>
      <c r="E91" s="565"/>
      <c r="F91" s="565"/>
      <c r="G91" s="565"/>
      <c r="H91" s="565"/>
      <c r="I91" s="565"/>
      <c r="J91" s="565"/>
      <c r="K91" s="565"/>
      <c r="L91" s="565"/>
      <c r="M91" s="565"/>
      <c r="N91" s="565"/>
      <c r="O91" s="565"/>
      <c r="P91" s="565"/>
      <c r="Q91" s="565"/>
      <c r="R91" s="565"/>
      <c r="S91" s="565"/>
      <c r="T91" s="565"/>
      <c r="U91" s="565"/>
      <c r="V91" s="565"/>
      <c r="W91" s="565"/>
      <c r="X91" s="565"/>
      <c r="Y91" s="565"/>
      <c r="Z91" s="565"/>
      <c r="AA91" s="565"/>
      <c r="AB91" s="565"/>
      <c r="AC91" s="565"/>
      <c r="AD91" s="565"/>
      <c r="AE91" s="565"/>
      <c r="AF91" s="565"/>
    </row>
    <row r="92" spans="1:37">
      <c r="A92" s="565" t="s">
        <v>669</v>
      </c>
      <c r="B92" s="565"/>
      <c r="C92" s="565"/>
      <c r="D92" s="565"/>
      <c r="E92" s="565"/>
      <c r="F92" s="565"/>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row>
    <row r="93" spans="1:37">
      <c r="A93" s="565" t="s">
        <v>670</v>
      </c>
      <c r="B93" s="565"/>
      <c r="C93" s="565"/>
      <c r="D93" s="565"/>
      <c r="E93" s="565"/>
      <c r="F93" s="565"/>
      <c r="G93" s="565"/>
      <c r="H93" s="565"/>
      <c r="I93" s="565"/>
      <c r="J93" s="565"/>
      <c r="K93" s="565"/>
      <c r="L93" s="565"/>
      <c r="M93" s="565"/>
      <c r="N93" s="565"/>
      <c r="O93" s="565"/>
      <c r="P93" s="565"/>
      <c r="Q93" s="565"/>
      <c r="R93" s="565"/>
      <c r="S93" s="565"/>
      <c r="T93" s="565"/>
      <c r="U93" s="565"/>
      <c r="V93" s="565"/>
      <c r="W93" s="565"/>
      <c r="X93" s="565"/>
      <c r="Y93" s="565"/>
      <c r="Z93" s="565"/>
      <c r="AA93" s="565"/>
      <c r="AB93" s="565"/>
      <c r="AC93" s="565"/>
      <c r="AD93" s="565"/>
      <c r="AE93" s="565"/>
      <c r="AF93" s="565"/>
    </row>
    <row r="94" spans="1:37">
      <c r="A94" s="565" t="s">
        <v>671</v>
      </c>
      <c r="B94" s="565"/>
      <c r="C94" s="565"/>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row>
    <row r="95" spans="1:37">
      <c r="A95" s="565" t="s">
        <v>672</v>
      </c>
      <c r="B95" s="565"/>
      <c r="C95" s="565"/>
      <c r="D95" s="565"/>
      <c r="E95" s="565"/>
      <c r="F95" s="565"/>
      <c r="G95" s="565"/>
      <c r="H95" s="565"/>
      <c r="I95" s="565"/>
      <c r="J95" s="565"/>
      <c r="K95" s="565"/>
      <c r="L95" s="565"/>
      <c r="M95" s="565"/>
      <c r="N95" s="565"/>
      <c r="O95" s="565"/>
      <c r="P95" s="565"/>
      <c r="Q95" s="565"/>
      <c r="R95" s="565"/>
      <c r="S95" s="565"/>
      <c r="T95" s="565"/>
      <c r="U95" s="565"/>
      <c r="V95" s="565"/>
      <c r="W95" s="565"/>
      <c r="X95" s="565"/>
      <c r="Y95" s="565"/>
      <c r="Z95" s="565"/>
      <c r="AA95" s="565"/>
      <c r="AB95" s="565"/>
      <c r="AC95" s="565"/>
      <c r="AD95" s="565"/>
      <c r="AE95" s="565"/>
      <c r="AF95" s="565"/>
    </row>
    <row r="96" spans="1:37">
      <c r="A96" s="565" t="s">
        <v>673</v>
      </c>
      <c r="B96" s="565"/>
      <c r="C96" s="565"/>
      <c r="D96" s="565"/>
      <c r="E96" s="565"/>
      <c r="F96" s="565"/>
      <c r="G96" s="565"/>
      <c r="H96" s="565"/>
      <c r="I96" s="565"/>
      <c r="J96" s="565"/>
      <c r="K96" s="565"/>
      <c r="L96" s="565"/>
      <c r="M96" s="565"/>
      <c r="N96" s="565"/>
      <c r="O96" s="565"/>
      <c r="P96" s="565"/>
      <c r="Q96" s="565"/>
      <c r="R96" s="565"/>
      <c r="S96" s="565"/>
      <c r="T96" s="565"/>
      <c r="U96" s="565"/>
      <c r="V96" s="565"/>
      <c r="W96" s="565"/>
      <c r="X96" s="565"/>
      <c r="Y96" s="565"/>
      <c r="Z96" s="565"/>
      <c r="AA96" s="565"/>
      <c r="AB96" s="565"/>
      <c r="AC96" s="565"/>
      <c r="AD96" s="565"/>
      <c r="AE96" s="565"/>
      <c r="AF96" s="565"/>
    </row>
    <row r="97" spans="1:32">
      <c r="A97" s="565" t="s">
        <v>674</v>
      </c>
      <c r="B97" s="565"/>
      <c r="C97" s="565"/>
      <c r="D97" s="565"/>
      <c r="E97" s="565"/>
      <c r="F97" s="565"/>
      <c r="G97" s="565"/>
      <c r="H97" s="565"/>
      <c r="I97" s="565"/>
      <c r="J97" s="565"/>
      <c r="K97" s="565"/>
      <c r="L97" s="565"/>
      <c r="M97" s="565"/>
      <c r="N97" s="565"/>
      <c r="O97" s="565"/>
      <c r="P97" s="565"/>
      <c r="Q97" s="565"/>
      <c r="R97" s="565"/>
      <c r="S97" s="565"/>
      <c r="T97" s="565"/>
      <c r="U97" s="565"/>
      <c r="V97" s="565"/>
      <c r="W97" s="565"/>
      <c r="X97" s="565"/>
      <c r="Y97" s="565"/>
      <c r="Z97" s="565"/>
      <c r="AA97" s="565"/>
      <c r="AB97" s="565"/>
      <c r="AC97" s="565"/>
      <c r="AD97" s="565"/>
      <c r="AE97" s="565"/>
      <c r="AF97" s="565"/>
    </row>
    <row r="98" spans="1:32">
      <c r="A98" s="565" t="s">
        <v>675</v>
      </c>
      <c r="B98" s="565"/>
      <c r="C98" s="565"/>
      <c r="D98" s="565"/>
      <c r="E98" s="565"/>
      <c r="F98" s="565"/>
      <c r="G98" s="565"/>
      <c r="H98" s="565"/>
      <c r="I98" s="565"/>
      <c r="J98" s="565"/>
      <c r="K98" s="565"/>
      <c r="L98" s="565"/>
      <c r="M98" s="565"/>
      <c r="N98" s="565"/>
      <c r="O98" s="565"/>
      <c r="P98" s="565"/>
      <c r="Q98" s="565"/>
      <c r="R98" s="565"/>
      <c r="S98" s="565"/>
      <c r="T98" s="565"/>
      <c r="U98" s="565"/>
      <c r="V98" s="565"/>
      <c r="W98" s="565"/>
      <c r="X98" s="565"/>
      <c r="Y98" s="565"/>
      <c r="Z98" s="565"/>
      <c r="AA98" s="565"/>
      <c r="AB98" s="565"/>
      <c r="AC98" s="565"/>
      <c r="AD98" s="565"/>
      <c r="AE98" s="565"/>
      <c r="AF98" s="565"/>
    </row>
    <row r="99" spans="1:32">
      <c r="A99" s="565" t="s">
        <v>676</v>
      </c>
      <c r="B99" s="565"/>
      <c r="C99" s="565"/>
      <c r="D99" s="565"/>
      <c r="E99" s="565"/>
      <c r="F99" s="565"/>
      <c r="G99" s="565"/>
      <c r="H99" s="565"/>
      <c r="I99" s="565"/>
      <c r="J99" s="565"/>
      <c r="K99" s="565"/>
      <c r="L99" s="565"/>
      <c r="M99" s="565"/>
      <c r="N99" s="565"/>
      <c r="O99" s="565"/>
      <c r="P99" s="565"/>
      <c r="Q99" s="565"/>
      <c r="R99" s="565"/>
      <c r="S99" s="565"/>
      <c r="T99" s="565"/>
      <c r="U99" s="565"/>
      <c r="V99" s="565"/>
      <c r="W99" s="565"/>
      <c r="X99" s="565"/>
      <c r="Y99" s="565"/>
      <c r="Z99" s="565"/>
      <c r="AA99" s="565"/>
      <c r="AB99" s="565"/>
      <c r="AC99" s="565"/>
      <c r="AD99" s="565"/>
      <c r="AE99" s="565"/>
      <c r="AF99" s="565"/>
    </row>
    <row r="100" spans="1:32">
      <c r="A100" s="565" t="s">
        <v>677</v>
      </c>
      <c r="B100" s="565"/>
      <c r="C100" s="565"/>
      <c r="D100" s="565"/>
      <c r="E100" s="565"/>
      <c r="F100" s="565"/>
      <c r="G100" s="565"/>
      <c r="H100" s="565"/>
      <c r="I100" s="565"/>
      <c r="J100" s="565"/>
      <c r="K100" s="565"/>
      <c r="L100" s="565"/>
      <c r="M100" s="565"/>
      <c r="N100" s="565"/>
      <c r="O100" s="565"/>
      <c r="P100" s="565"/>
      <c r="Q100" s="565"/>
      <c r="R100" s="565"/>
      <c r="S100" s="565"/>
      <c r="T100" s="565"/>
      <c r="U100" s="565"/>
      <c r="V100" s="565"/>
      <c r="W100" s="565"/>
      <c r="X100" s="565"/>
      <c r="Y100" s="565"/>
      <c r="Z100" s="565"/>
      <c r="AA100" s="565"/>
      <c r="AB100" s="565"/>
      <c r="AC100" s="565"/>
      <c r="AD100" s="565"/>
      <c r="AE100" s="565"/>
      <c r="AF100" s="565"/>
    </row>
    <row r="101" spans="1:32">
      <c r="A101" s="565" t="s">
        <v>678</v>
      </c>
      <c r="B101" s="565"/>
      <c r="C101" s="565"/>
      <c r="D101" s="565"/>
      <c r="E101" s="565"/>
      <c r="F101" s="565"/>
      <c r="G101" s="565"/>
      <c r="H101" s="565"/>
      <c r="I101" s="565"/>
      <c r="J101" s="565"/>
      <c r="K101" s="565"/>
      <c r="L101" s="565"/>
      <c r="M101" s="565"/>
      <c r="N101" s="565"/>
      <c r="O101" s="565"/>
      <c r="P101" s="565"/>
      <c r="Q101" s="565"/>
      <c r="R101" s="565"/>
      <c r="S101" s="565"/>
      <c r="T101" s="565"/>
      <c r="U101" s="565"/>
      <c r="V101" s="565"/>
      <c r="W101" s="565"/>
      <c r="X101" s="565"/>
      <c r="Y101" s="565"/>
      <c r="Z101" s="565"/>
      <c r="AA101" s="565"/>
      <c r="AB101" s="565"/>
      <c r="AC101" s="565"/>
      <c r="AD101" s="565"/>
      <c r="AE101" s="565"/>
      <c r="AF101" s="565"/>
    </row>
    <row r="102" spans="1:32">
      <c r="A102" s="565" t="s">
        <v>679</v>
      </c>
      <c r="B102" s="565"/>
      <c r="C102" s="565"/>
      <c r="D102" s="565"/>
      <c r="E102" s="565"/>
      <c r="F102" s="565"/>
      <c r="G102" s="565"/>
      <c r="H102" s="565"/>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5"/>
      <c r="AE102" s="565"/>
      <c r="AF102" s="565"/>
    </row>
    <row r="103" spans="1:32">
      <c r="A103" s="565" t="s">
        <v>680</v>
      </c>
      <c r="B103" s="565"/>
      <c r="C103" s="565"/>
      <c r="D103" s="565"/>
      <c r="E103" s="565"/>
      <c r="F103" s="565"/>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5"/>
      <c r="AD103" s="565"/>
      <c r="AE103" s="565"/>
      <c r="AF103" s="565"/>
    </row>
    <row r="104" spans="1:32">
      <c r="A104" s="565" t="s">
        <v>681</v>
      </c>
      <c r="B104" s="565"/>
      <c r="C104" s="565"/>
      <c r="D104" s="565"/>
      <c r="E104" s="565"/>
      <c r="F104" s="565"/>
      <c r="G104" s="565"/>
      <c r="H104" s="565"/>
      <c r="I104" s="565"/>
      <c r="J104" s="565"/>
      <c r="K104" s="565"/>
      <c r="L104" s="565"/>
      <c r="M104" s="565"/>
      <c r="N104" s="565"/>
      <c r="O104" s="565"/>
      <c r="P104" s="565"/>
      <c r="Q104" s="565"/>
      <c r="R104" s="565"/>
      <c r="S104" s="565"/>
      <c r="T104" s="565"/>
      <c r="U104" s="565"/>
      <c r="V104" s="565"/>
      <c r="W104" s="565"/>
      <c r="X104" s="565"/>
      <c r="Y104" s="565"/>
      <c r="Z104" s="565"/>
      <c r="AA104" s="565"/>
      <c r="AB104" s="565"/>
      <c r="AC104" s="565"/>
      <c r="AD104" s="565"/>
      <c r="AE104" s="565"/>
      <c r="AF104" s="565"/>
    </row>
    <row r="105" spans="1:32">
      <c r="A105" s="565" t="s">
        <v>682</v>
      </c>
      <c r="B105" s="565"/>
      <c r="C105" s="565"/>
      <c r="D105" s="565"/>
      <c r="E105" s="565"/>
      <c r="F105" s="565"/>
      <c r="G105" s="565"/>
      <c r="H105" s="565"/>
      <c r="I105" s="565"/>
      <c r="J105" s="565"/>
      <c r="K105" s="565"/>
      <c r="L105" s="565"/>
      <c r="M105" s="565"/>
      <c r="N105" s="565"/>
      <c r="O105" s="565"/>
      <c r="P105" s="565"/>
      <c r="Q105" s="565"/>
      <c r="R105" s="565"/>
      <c r="S105" s="565"/>
      <c r="T105" s="565"/>
      <c r="U105" s="565"/>
      <c r="V105" s="565"/>
      <c r="W105" s="565"/>
      <c r="X105" s="565"/>
      <c r="Y105" s="565"/>
      <c r="Z105" s="565"/>
      <c r="AA105" s="565"/>
      <c r="AB105" s="565"/>
      <c r="AC105" s="565"/>
      <c r="AD105" s="565"/>
      <c r="AE105" s="565"/>
      <c r="AF105" s="565"/>
    </row>
    <row r="106" spans="1:32">
      <c r="A106" s="565" t="s">
        <v>683</v>
      </c>
      <c r="B106" s="565"/>
      <c r="C106" s="565"/>
      <c r="D106" s="565"/>
      <c r="E106" s="565"/>
      <c r="F106" s="565"/>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row>
    <row r="107" spans="1:32">
      <c r="A107" s="565" t="s">
        <v>684</v>
      </c>
      <c r="B107" s="565"/>
      <c r="C107" s="565"/>
      <c r="D107" s="565"/>
      <c r="E107" s="565"/>
      <c r="F107" s="565"/>
      <c r="G107" s="565"/>
      <c r="H107" s="565"/>
      <c r="I107" s="565"/>
      <c r="J107" s="565"/>
      <c r="K107" s="565"/>
      <c r="L107" s="565"/>
      <c r="M107" s="565"/>
      <c r="N107" s="565"/>
      <c r="O107" s="565"/>
      <c r="P107" s="565"/>
      <c r="Q107" s="565"/>
      <c r="R107" s="565"/>
      <c r="S107" s="565"/>
      <c r="T107" s="565"/>
      <c r="U107" s="565"/>
      <c r="V107" s="565"/>
      <c r="W107" s="565"/>
      <c r="X107" s="565"/>
      <c r="Y107" s="565"/>
      <c r="Z107" s="565"/>
      <c r="AA107" s="565"/>
      <c r="AB107" s="565"/>
      <c r="AC107" s="565"/>
      <c r="AD107" s="565"/>
      <c r="AE107" s="565"/>
      <c r="AF107" s="565"/>
    </row>
    <row r="108" spans="1:32">
      <c r="A108" s="565" t="s">
        <v>636</v>
      </c>
      <c r="B108" s="565"/>
      <c r="C108" s="565"/>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5"/>
      <c r="AD108" s="565"/>
      <c r="AE108" s="565"/>
      <c r="AF108" s="565"/>
    </row>
    <row r="109" spans="1:32">
      <c r="A109" s="565" t="s">
        <v>685</v>
      </c>
      <c r="B109" s="565"/>
      <c r="C109" s="565"/>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565"/>
      <c r="AD109" s="565"/>
      <c r="AE109" s="565"/>
      <c r="AF109" s="565"/>
    </row>
    <row r="110" spans="1:32">
      <c r="A110" s="565" t="s">
        <v>686</v>
      </c>
      <c r="B110" s="565"/>
      <c r="C110" s="565"/>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row>
    <row r="111" spans="1:32">
      <c r="A111" s="565" t="s">
        <v>643</v>
      </c>
      <c r="B111" s="565"/>
      <c r="C111" s="565"/>
      <c r="D111" s="565"/>
      <c r="E111" s="565"/>
      <c r="F111" s="565"/>
      <c r="G111" s="565"/>
      <c r="H111" s="565"/>
      <c r="I111" s="565"/>
      <c r="J111" s="565"/>
      <c r="K111" s="565"/>
      <c r="L111" s="565"/>
      <c r="M111" s="565"/>
      <c r="N111" s="565"/>
      <c r="O111" s="565"/>
      <c r="P111" s="565"/>
      <c r="Q111" s="565"/>
      <c r="R111" s="565"/>
      <c r="S111" s="565"/>
      <c r="T111" s="565"/>
      <c r="U111" s="565"/>
      <c r="V111" s="565"/>
      <c r="W111" s="565"/>
      <c r="X111" s="565"/>
      <c r="Y111" s="565"/>
      <c r="Z111" s="565"/>
      <c r="AA111" s="565"/>
      <c r="AB111" s="565"/>
      <c r="AC111" s="565"/>
      <c r="AD111" s="565"/>
      <c r="AE111" s="565"/>
      <c r="AF111" s="565"/>
    </row>
    <row r="112" spans="1:32">
      <c r="A112" s="565" t="s">
        <v>644</v>
      </c>
      <c r="B112" s="565"/>
      <c r="C112" s="565"/>
      <c r="D112" s="565"/>
      <c r="E112" s="565"/>
      <c r="F112" s="565"/>
      <c r="G112" s="565"/>
      <c r="H112" s="565"/>
      <c r="I112" s="565"/>
      <c r="J112" s="565"/>
      <c r="K112" s="565"/>
      <c r="L112" s="565"/>
      <c r="M112" s="565"/>
      <c r="N112" s="565"/>
      <c r="O112" s="565"/>
      <c r="P112" s="565"/>
      <c r="Q112" s="565"/>
      <c r="R112" s="565"/>
      <c r="S112" s="565"/>
      <c r="T112" s="565"/>
      <c r="U112" s="565"/>
      <c r="V112" s="565"/>
      <c r="W112" s="565"/>
      <c r="X112" s="565"/>
      <c r="Y112" s="565"/>
      <c r="Z112" s="565"/>
      <c r="AA112" s="565"/>
      <c r="AB112" s="565"/>
      <c r="AC112" s="565"/>
      <c r="AD112" s="565"/>
      <c r="AE112" s="565"/>
      <c r="AF112" s="565"/>
    </row>
    <row r="113" spans="1:32">
      <c r="A113" s="565" t="s">
        <v>645</v>
      </c>
      <c r="B113" s="565"/>
      <c r="C113" s="565"/>
      <c r="D113" s="565"/>
      <c r="E113" s="565"/>
      <c r="F113" s="565"/>
      <c r="G113" s="565"/>
      <c r="H113" s="565"/>
      <c r="I113" s="565"/>
      <c r="J113" s="565"/>
      <c r="K113" s="565"/>
      <c r="L113" s="565"/>
      <c r="M113" s="565"/>
      <c r="N113" s="565"/>
      <c r="O113" s="565"/>
      <c r="P113" s="565"/>
      <c r="Q113" s="565"/>
      <c r="R113" s="565"/>
      <c r="S113" s="565"/>
      <c r="T113" s="565"/>
      <c r="U113" s="565"/>
      <c r="V113" s="565"/>
      <c r="W113" s="565"/>
      <c r="X113" s="565"/>
      <c r="Y113" s="565"/>
      <c r="Z113" s="565"/>
      <c r="AA113" s="565"/>
      <c r="AB113" s="565"/>
      <c r="AC113" s="565"/>
      <c r="AD113" s="565"/>
      <c r="AE113" s="565"/>
      <c r="AF113" s="565"/>
    </row>
    <row r="114" spans="1:32">
      <c r="A114" s="565" t="s">
        <v>687</v>
      </c>
      <c r="B114" s="565"/>
      <c r="C114" s="565"/>
      <c r="D114" s="565"/>
      <c r="E114" s="565"/>
      <c r="F114" s="565"/>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row>
    <row r="115" spans="1:32">
      <c r="A115" s="565" t="s">
        <v>688</v>
      </c>
      <c r="B115" s="565"/>
      <c r="C115" s="565"/>
      <c r="D115" s="565"/>
      <c r="E115" s="565"/>
      <c r="F115" s="565"/>
      <c r="G115" s="565"/>
      <c r="H115" s="565"/>
      <c r="I115" s="565"/>
      <c r="J115" s="565"/>
      <c r="K115" s="565"/>
      <c r="L115" s="565"/>
      <c r="M115" s="565"/>
      <c r="N115" s="565"/>
      <c r="O115" s="565"/>
      <c r="P115" s="565"/>
      <c r="Q115" s="565"/>
      <c r="R115" s="565"/>
      <c r="S115" s="565"/>
      <c r="T115" s="565"/>
      <c r="U115" s="565"/>
      <c r="V115" s="565"/>
      <c r="W115" s="565"/>
      <c r="X115" s="565"/>
      <c r="Y115" s="565"/>
      <c r="Z115" s="565"/>
      <c r="AA115" s="565"/>
      <c r="AB115" s="565"/>
      <c r="AC115" s="565"/>
      <c r="AD115" s="565"/>
      <c r="AE115" s="565"/>
      <c r="AF115" s="565"/>
    </row>
    <row r="116" spans="1:32">
      <c r="A116" s="565" t="s">
        <v>620</v>
      </c>
      <c r="B116" s="565"/>
      <c r="C116" s="565"/>
      <c r="D116" s="565"/>
      <c r="E116" s="565"/>
      <c r="F116" s="565"/>
      <c r="G116" s="565"/>
      <c r="H116" s="565"/>
      <c r="I116" s="565"/>
      <c r="J116" s="565"/>
      <c r="K116" s="565"/>
      <c r="L116" s="565"/>
      <c r="M116" s="565"/>
      <c r="N116" s="565"/>
      <c r="O116" s="565"/>
      <c r="P116" s="565"/>
      <c r="Q116" s="565"/>
      <c r="R116" s="565"/>
      <c r="S116" s="565"/>
      <c r="T116" s="565"/>
      <c r="U116" s="565"/>
      <c r="V116" s="565"/>
      <c r="W116" s="565"/>
      <c r="X116" s="565"/>
      <c r="Y116" s="565"/>
      <c r="Z116" s="565"/>
      <c r="AA116" s="565"/>
      <c r="AB116" s="565"/>
      <c r="AC116" s="565"/>
      <c r="AD116" s="565"/>
      <c r="AE116" s="565"/>
      <c r="AF116" s="565"/>
    </row>
    <row r="117" spans="1:32">
      <c r="A117" s="565" t="s">
        <v>621</v>
      </c>
      <c r="B117" s="565"/>
      <c r="C117" s="565"/>
      <c r="D117" s="565"/>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row>
    <row r="118" spans="1:32">
      <c r="A118" s="565" t="s">
        <v>622</v>
      </c>
      <c r="B118" s="565"/>
      <c r="C118" s="565"/>
      <c r="D118" s="565"/>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row>
    <row r="119" spans="1:32">
      <c r="A119" s="565" t="s">
        <v>689</v>
      </c>
      <c r="B119" s="565"/>
      <c r="C119" s="565"/>
      <c r="D119" s="565"/>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row>
    <row r="120" spans="1:32">
      <c r="A120" s="565" t="s">
        <v>690</v>
      </c>
      <c r="B120" s="565"/>
      <c r="C120" s="565"/>
      <c r="D120" s="565"/>
      <c r="E120" s="565"/>
      <c r="F120" s="565"/>
      <c r="G120" s="565"/>
      <c r="H120" s="565"/>
      <c r="I120" s="565"/>
      <c r="J120" s="565"/>
      <c r="K120" s="565"/>
      <c r="L120" s="565"/>
      <c r="M120" s="565"/>
      <c r="N120" s="565"/>
      <c r="O120" s="565"/>
      <c r="P120" s="565"/>
      <c r="Q120" s="565"/>
      <c r="R120" s="565"/>
      <c r="S120" s="565"/>
      <c r="T120" s="565"/>
      <c r="U120" s="565"/>
      <c r="V120" s="565"/>
      <c r="W120" s="565"/>
      <c r="X120" s="565"/>
      <c r="Y120" s="565"/>
      <c r="Z120" s="565"/>
      <c r="AA120" s="565"/>
      <c r="AB120" s="565"/>
      <c r="AC120" s="565"/>
      <c r="AD120" s="565"/>
      <c r="AE120" s="565"/>
      <c r="AF120" s="565"/>
    </row>
    <row r="121" spans="1:32">
      <c r="A121" s="565" t="s">
        <v>624</v>
      </c>
      <c r="B121" s="565"/>
      <c r="C121" s="565"/>
      <c r="D121" s="565"/>
      <c r="E121" s="565"/>
      <c r="F121" s="565"/>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row>
    <row r="122" spans="1:32">
      <c r="A122" s="565" t="s">
        <v>627</v>
      </c>
      <c r="B122" s="565"/>
      <c r="C122" s="565"/>
      <c r="D122" s="565"/>
      <c r="E122" s="565"/>
      <c r="F122" s="565"/>
      <c r="G122" s="565"/>
      <c r="H122" s="565"/>
      <c r="I122" s="565"/>
      <c r="J122" s="565"/>
      <c r="K122" s="565"/>
      <c r="L122" s="565"/>
      <c r="M122" s="565"/>
      <c r="N122" s="565"/>
      <c r="O122" s="565"/>
      <c r="P122" s="565"/>
      <c r="Q122" s="565"/>
      <c r="R122" s="565"/>
      <c r="S122" s="565"/>
      <c r="T122" s="565"/>
      <c r="U122" s="565"/>
      <c r="V122" s="565"/>
      <c r="W122" s="565"/>
      <c r="X122" s="565"/>
      <c r="Y122" s="565"/>
      <c r="Z122" s="565"/>
      <c r="AA122" s="565"/>
      <c r="AB122" s="565"/>
      <c r="AC122" s="565"/>
      <c r="AD122" s="565"/>
      <c r="AE122" s="565"/>
      <c r="AF122" s="565"/>
    </row>
  </sheetData>
  <mergeCells count="36">
    <mergeCell ref="A122:AF122"/>
    <mergeCell ref="A117:AF117"/>
    <mergeCell ref="A118:AF118"/>
    <mergeCell ref="A119:AF119"/>
    <mergeCell ref="A120:AF120"/>
    <mergeCell ref="A121:AF121"/>
    <mergeCell ref="A112:AF112"/>
    <mergeCell ref="A113:AF113"/>
    <mergeCell ref="A114:AF114"/>
    <mergeCell ref="A115:AF115"/>
    <mergeCell ref="A116:AF116"/>
    <mergeCell ref="A107:AF107"/>
    <mergeCell ref="A108:AF108"/>
    <mergeCell ref="A109:AF109"/>
    <mergeCell ref="A110:AF110"/>
    <mergeCell ref="A111:AF111"/>
    <mergeCell ref="A102:AF102"/>
    <mergeCell ref="A103:AF103"/>
    <mergeCell ref="A104:AF104"/>
    <mergeCell ref="A105:AF105"/>
    <mergeCell ref="A106:AF106"/>
    <mergeCell ref="A97:AF97"/>
    <mergeCell ref="A98:AF98"/>
    <mergeCell ref="A99:AF99"/>
    <mergeCell ref="A100:AF100"/>
    <mergeCell ref="A101:AF101"/>
    <mergeCell ref="A92:AF92"/>
    <mergeCell ref="A93:AF93"/>
    <mergeCell ref="A94:AF94"/>
    <mergeCell ref="A95:AF95"/>
    <mergeCell ref="A96:AF96"/>
    <mergeCell ref="A87:AF87"/>
    <mergeCell ref="A88:AF88"/>
    <mergeCell ref="A89:AF89"/>
    <mergeCell ref="A90:AF90"/>
    <mergeCell ref="A91:AF9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2015-02-19T01:06:47Z</dcterms:modified>
</cp:coreProperties>
</file>