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J78" i="8"/>
  <c r="J79" i="8"/>
  <c r="J54" i="11"/>
  <c r="J58" i="11"/>
  <c r="H13" i="15"/>
  <c r="H14" i="15"/>
  <c r="H29" i="15"/>
  <c r="H100" i="15"/>
  <c r="H30" i="15"/>
  <c r="H101" i="15"/>
  <c r="H16" i="9"/>
  <c r="H42" i="15"/>
  <c r="H112" i="15"/>
  <c r="H108" i="15"/>
  <c r="H113" i="15"/>
  <c r="H43" i="15"/>
  <c r="H46" i="15"/>
  <c r="H47" i="15"/>
  <c r="H116" i="15"/>
  <c r="H48" i="15"/>
  <c r="H117" i="15"/>
  <c r="H118" i="15"/>
  <c r="H127" i="15"/>
  <c r="H128" i="15"/>
  <c r="H139" i="15"/>
  <c r="H135" i="15"/>
  <c r="H140" i="15"/>
  <c r="H143" i="15"/>
  <c r="H144" i="15"/>
  <c r="H145" i="15"/>
  <c r="H249" i="15"/>
  <c r="H252" i="15"/>
  <c r="H179" i="15"/>
  <c r="H50" i="9"/>
  <c r="H47" i="9"/>
  <c r="H52" i="9"/>
  <c r="H55" i="9"/>
  <c r="H68" i="9"/>
  <c r="H65" i="9"/>
  <c r="H70" i="9"/>
  <c r="H73" i="9"/>
  <c r="H176" i="15"/>
  <c r="H182" i="15"/>
  <c r="H185" i="15"/>
  <c r="AH13" i="9"/>
  <c r="AH47" i="9"/>
  <c r="AH65" i="9"/>
  <c r="H78" i="8"/>
  <c r="H79" i="8"/>
  <c r="H54" i="11"/>
  <c r="H58" i="11"/>
  <c r="H56" i="11"/>
  <c r="I78" i="8"/>
  <c r="I79" i="8"/>
  <c r="I54" i="11"/>
  <c r="I58" i="11"/>
  <c r="I56" i="11"/>
  <c r="J56" i="11"/>
  <c r="K78" i="8"/>
  <c r="K79" i="8"/>
  <c r="K54" i="11"/>
  <c r="K58" i="11"/>
  <c r="K56" i="11"/>
  <c r="L78" i="8"/>
  <c r="L79" i="8"/>
  <c r="L54" i="11"/>
  <c r="L58" i="11"/>
  <c r="L56" i="11"/>
  <c r="M78" i="8"/>
  <c r="M79" i="8"/>
  <c r="M54" i="11"/>
  <c r="M58" i="11"/>
  <c r="M56" i="11"/>
  <c r="N78" i="8"/>
  <c r="N79" i="8"/>
  <c r="N54" i="11"/>
  <c r="N58" i="11"/>
  <c r="N56" i="11"/>
  <c r="O78" i="8"/>
  <c r="O79" i="8"/>
  <c r="O54" i="11"/>
  <c r="O58" i="11"/>
  <c r="O56" i="11"/>
  <c r="P78" i="8"/>
  <c r="P79" i="8"/>
  <c r="P54" i="11"/>
  <c r="P58" i="11"/>
  <c r="P56" i="11"/>
  <c r="Q78" i="8"/>
  <c r="Q79" i="8"/>
  <c r="Q54" i="11"/>
  <c r="Q58" i="11"/>
  <c r="Q56" i="11"/>
  <c r="R78" i="8"/>
  <c r="R79" i="8"/>
  <c r="R54" i="11"/>
  <c r="R58" i="11"/>
  <c r="R56" i="11"/>
  <c r="S78" i="8"/>
  <c r="S79" i="8"/>
  <c r="S54" i="11"/>
  <c r="S58" i="11"/>
  <c r="S56" i="11"/>
  <c r="T78" i="8"/>
  <c r="T79" i="8"/>
  <c r="T54" i="11"/>
  <c r="T58" i="11"/>
  <c r="T56" i="11"/>
  <c r="U78" i="8"/>
  <c r="U79" i="8"/>
  <c r="U54" i="11"/>
  <c r="U58" i="11"/>
  <c r="U56" i="11"/>
  <c r="V78" i="8"/>
  <c r="V79" i="8"/>
  <c r="V54" i="11"/>
  <c r="V58" i="11"/>
  <c r="V56" i="11"/>
  <c r="W78" i="8"/>
  <c r="W79" i="8"/>
  <c r="W54" i="11"/>
  <c r="W58" i="11"/>
  <c r="W56" i="11"/>
  <c r="X78" i="8"/>
  <c r="X79" i="8"/>
  <c r="X54" i="11"/>
  <c r="X58" i="11"/>
  <c r="X56" i="11"/>
  <c r="Y78" i="8"/>
  <c r="Y79" i="8"/>
  <c r="Y54" i="11"/>
  <c r="Y58" i="11"/>
  <c r="Y56" i="11"/>
  <c r="Z78" i="8"/>
  <c r="Z79" i="8"/>
  <c r="Z54" i="11"/>
  <c r="Z58" i="11"/>
  <c r="Z56" i="11"/>
  <c r="AA78" i="8"/>
  <c r="AA79" i="8"/>
  <c r="AA54" i="11"/>
  <c r="AA58" i="11"/>
  <c r="AA56" i="11"/>
  <c r="AB78" i="8"/>
  <c r="AB79" i="8"/>
  <c r="AB54" i="11"/>
  <c r="AB58" i="11"/>
  <c r="AB56" i="11"/>
  <c r="AC78" i="8"/>
  <c r="AC79" i="8"/>
  <c r="AC54" i="11"/>
  <c r="AC58" i="11"/>
  <c r="AC56" i="11"/>
  <c r="AD78" i="8"/>
  <c r="AD79" i="8"/>
  <c r="AD54" i="11"/>
  <c r="AD58" i="11"/>
  <c r="AD56" i="11"/>
  <c r="AE78" i="8"/>
  <c r="AE79" i="8"/>
  <c r="AE54" i="11"/>
  <c r="AE58" i="11"/>
  <c r="AE56" i="11"/>
  <c r="AF78" i="8"/>
  <c r="AF79" i="8"/>
  <c r="AF54" i="11"/>
  <c r="AF58" i="11"/>
  <c r="AF56" i="11"/>
  <c r="AG78" i="8"/>
  <c r="AG79" i="8"/>
  <c r="AG54" i="11"/>
  <c r="AG58" i="11"/>
  <c r="AG56" i="11"/>
  <c r="AH78" i="8"/>
  <c r="AH79" i="8"/>
  <c r="AH54" i="11"/>
  <c r="AH58" i="11"/>
  <c r="AH56" i="11"/>
  <c r="AI78" i="8"/>
  <c r="AI79" i="8"/>
  <c r="AI54" i="11"/>
  <c r="AI58" i="11"/>
  <c r="AI56" i="11"/>
  <c r="AJ78" i="8"/>
  <c r="AJ79" i="8"/>
  <c r="AJ54" i="11"/>
  <c r="AJ58" i="11"/>
  <c r="AJ56" i="11"/>
  <c r="G78" i="8"/>
  <c r="G79" i="8"/>
  <c r="G54" i="11"/>
  <c r="G58" i="11"/>
  <c r="G56" i="11"/>
  <c r="N13" i="15"/>
  <c r="N14" i="15"/>
  <c r="D17" i="5"/>
  <c r="N16" i="9"/>
  <c r="N18" i="9"/>
  <c r="D11" i="5"/>
  <c r="C17" i="5"/>
  <c r="F17" i="5"/>
  <c r="I17" i="5"/>
  <c r="AH13" i="15"/>
  <c r="AH14" i="1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X13" i="15"/>
  <c r="X14" i="15"/>
  <c r="D29" i="5"/>
  <c r="C29" i="5"/>
  <c r="D28" i="5"/>
  <c r="C28" i="5"/>
  <c r="F35" i="5"/>
  <c r="D30" i="5"/>
  <c r="C30" i="5"/>
  <c r="H35" i="5"/>
  <c r="AH26" i="15"/>
  <c r="AH31" i="15"/>
  <c r="D36" i="5"/>
  <c r="C36" i="5"/>
  <c r="F36" i="5"/>
  <c r="H36" i="5"/>
  <c r="AH18" i="15"/>
  <c r="AH32" i="15"/>
  <c r="AH43" i="15"/>
  <c r="F34" i="5"/>
  <c r="H34" i="5"/>
  <c r="AH24" i="15"/>
  <c r="AH30" i="15"/>
  <c r="AH46" i="15"/>
  <c r="AH47" i="15"/>
  <c r="AH48" i="15"/>
  <c r="AH49" i="15"/>
  <c r="AH93" i="15"/>
  <c r="X34" i="15"/>
  <c r="X35" i="15"/>
  <c r="X37" i="15"/>
  <c r="X38" i="15"/>
  <c r="X39" i="15"/>
  <c r="X40" i="15"/>
  <c r="X42" i="15"/>
  <c r="X26" i="15"/>
  <c r="X31" i="15"/>
  <c r="X18" i="15"/>
  <c r="X32" i="15"/>
  <c r="X43" i="15"/>
  <c r="X24" i="15"/>
  <c r="X30" i="15"/>
  <c r="X46" i="15"/>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30" i="15"/>
  <c r="N46" i="15"/>
  <c r="N47" i="15"/>
  <c r="N48" i="15"/>
  <c r="N49" i="15"/>
  <c r="N93" i="15"/>
  <c r="X78" i="15"/>
  <c r="N94" i="15"/>
  <c r="X79" i="15"/>
  <c r="N87" i="15"/>
  <c r="X72" i="15"/>
  <c r="H49" i="15"/>
  <c r="H93" i="15"/>
  <c r="N78" i="15"/>
  <c r="H94" i="15"/>
  <c r="N79" i="15"/>
  <c r="H87" i="15"/>
  <c r="N72" i="15"/>
  <c r="H74" i="8"/>
  <c r="I74" i="8"/>
  <c r="J74" i="8"/>
  <c r="K74" i="8"/>
  <c r="L74" i="8"/>
  <c r="M74" i="8"/>
  <c r="N74" i="8"/>
  <c r="O74" i="8"/>
  <c r="P74" i="8"/>
  <c r="Q74" i="8"/>
  <c r="R74" i="8"/>
  <c r="S74" i="8"/>
  <c r="T74" i="8"/>
  <c r="U74" i="8"/>
  <c r="V74" i="8"/>
  <c r="W74" i="8"/>
  <c r="X74" i="8"/>
  <c r="Y74" i="8"/>
  <c r="Z74" i="8"/>
  <c r="AA74" i="8"/>
  <c r="AB74" i="8"/>
  <c r="AC74" i="8"/>
  <c r="AD74" i="8"/>
  <c r="AE74" i="8"/>
  <c r="AF74" i="8"/>
  <c r="AG74" i="8"/>
  <c r="AH74" i="8"/>
  <c r="AI74" i="8"/>
  <c r="AJ74" i="8"/>
  <c r="G74"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H76" i="8"/>
  <c r="G76"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H51" i="11"/>
  <c r="I49" i="11"/>
  <c r="I50" i="11"/>
  <c r="I51" i="11"/>
  <c r="J49" i="11"/>
  <c r="J50" i="11"/>
  <c r="J51" i="11"/>
  <c r="K49" i="11"/>
  <c r="K50" i="11"/>
  <c r="K51" i="11"/>
  <c r="L49" i="11"/>
  <c r="L50" i="11"/>
  <c r="L51" i="11"/>
  <c r="M49" i="11"/>
  <c r="M50" i="11"/>
  <c r="M51" i="11"/>
  <c r="N49" i="11"/>
  <c r="N50" i="11"/>
  <c r="N51" i="11"/>
  <c r="O49" i="11"/>
  <c r="O50" i="11"/>
  <c r="O51" i="11"/>
  <c r="P49" i="11"/>
  <c r="P50" i="11"/>
  <c r="P51" i="11"/>
  <c r="Q49" i="11"/>
  <c r="Q50" i="11"/>
  <c r="Q51" i="11"/>
  <c r="R49" i="11"/>
  <c r="R50" i="11"/>
  <c r="R51" i="11"/>
  <c r="S49" i="11"/>
  <c r="S50" i="11"/>
  <c r="S51" i="11"/>
  <c r="T49" i="11"/>
  <c r="T50" i="11"/>
  <c r="T51" i="11"/>
  <c r="U49" i="11"/>
  <c r="U50" i="11"/>
  <c r="U51" i="11"/>
  <c r="V49" i="11"/>
  <c r="V50" i="11"/>
  <c r="V51" i="11"/>
  <c r="W49" i="11"/>
  <c r="W50" i="11"/>
  <c r="W51" i="11"/>
  <c r="X49" i="11"/>
  <c r="X50" i="11"/>
  <c r="X51" i="11"/>
  <c r="Y49" i="11"/>
  <c r="Y50" i="11"/>
  <c r="Y51" i="11"/>
  <c r="Z49" i="11"/>
  <c r="Z50" i="11"/>
  <c r="Z51" i="11"/>
  <c r="AA49" i="11"/>
  <c r="AA50" i="11"/>
  <c r="AA51" i="11"/>
  <c r="AB49" i="11"/>
  <c r="AB50" i="11"/>
  <c r="AB51" i="11"/>
  <c r="AC49" i="11"/>
  <c r="AC50" i="11"/>
  <c r="AC51" i="11"/>
  <c r="AD49" i="11"/>
  <c r="AD50" i="11"/>
  <c r="AD51" i="11"/>
  <c r="AE49" i="11"/>
  <c r="AE50" i="11"/>
  <c r="AE51" i="11"/>
  <c r="AF49" i="11"/>
  <c r="AF50" i="11"/>
  <c r="AF51" i="11"/>
  <c r="AG49" i="11"/>
  <c r="AG50" i="11"/>
  <c r="AG51" i="11"/>
  <c r="AH49" i="11"/>
  <c r="AH50" i="11"/>
  <c r="AH51" i="11"/>
  <c r="AI49" i="11"/>
  <c r="AI50" i="11"/>
  <c r="AI51" i="11"/>
  <c r="AJ49" i="11"/>
  <c r="AJ50" i="11"/>
  <c r="AJ51" i="11"/>
  <c r="AH16" i="15"/>
  <c r="Z13" i="15"/>
  <c r="Z14" i="15"/>
  <c r="N10" i="9"/>
  <c r="N8" i="9"/>
  <c r="P73" i="8"/>
  <c r="N7" i="9"/>
  <c r="N11" i="9"/>
  <c r="P75" i="8"/>
  <c r="N12" i="9"/>
  <c r="N13" i="9"/>
  <c r="N14" i="9"/>
  <c r="X8" i="9"/>
  <c r="Z73" i="8"/>
  <c r="X7" i="9"/>
  <c r="Z60" i="11"/>
  <c r="X58" i="15"/>
  <c r="AJ60" i="11"/>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7" i="8"/>
  <c r="H75" i="8"/>
  <c r="I75" i="8"/>
  <c r="J75" i="8"/>
  <c r="K75" i="8"/>
  <c r="L75" i="8"/>
  <c r="M75" i="8"/>
  <c r="N75" i="8"/>
  <c r="O75" i="8"/>
  <c r="Q75" i="8"/>
  <c r="R75" i="8"/>
  <c r="S75" i="8"/>
  <c r="T75" i="8"/>
  <c r="U75" i="8"/>
  <c r="V75" i="8"/>
  <c r="W75" i="8"/>
  <c r="X75" i="8"/>
  <c r="Y75" i="8"/>
  <c r="Z75" i="8"/>
  <c r="AJ75" i="8"/>
  <c r="G75"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8" i="9"/>
  <c r="AH7" i="9"/>
  <c r="AH10" i="9"/>
  <c r="AH11" i="9"/>
  <c r="AH12"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3" i="9"/>
  <c r="H38" i="15"/>
  <c r="H14" i="9"/>
  <c r="H39" i="15"/>
  <c r="H7" i="9"/>
  <c r="H31" i="15"/>
  <c r="H10" i="9"/>
  <c r="H34" i="15"/>
  <c r="H11" i="9"/>
  <c r="H35" i="15"/>
  <c r="H12" i="9"/>
  <c r="H37"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<sst xmlns="http://schemas.openxmlformats.org/spreadsheetml/2006/main" count="1320" uniqueCount="760">
  <si>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</si>
  <si>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</si>
  <si>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</si>
  <si>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</si>
  <si>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</si>
  <si>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</si>
  <si>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</si>
  <si>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</si>
  <si>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</si>
  <si>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</si>
  <si>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</si>
  <si>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</si>
  <si>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</si>
  <si>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</si>
  <si>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</si>
  <si>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</si>
  <si>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</si>
  <si>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</si>
  <si>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</si>
  <si>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</si>
  <si>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</si>
  <si>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</si>
  <si>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</si>
  <si>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</si>
  <si>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</si>
  <si>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</si>
  <si>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</si>
  <si>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</si>
  <si>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</si>
  <si>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</si>
  <si>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</si>
  <si>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</si>
  <si>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</si>
  <si>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</si>
  <si>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</si>
  <si>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</si>
  <si>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</si>
  <si>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</si>
  <si>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</si>
  <si>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</si>
  <si>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</si>
  <si>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</si>
  <si>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</si>
  <si>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</si>
  <si>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</si>
  <si>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</si>
  <si>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</si>
  <si>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</si>
  <si>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</si>
  <si>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</si>
  <si>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</si>
  <si>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</si>
  <si>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</si>
  <si>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</si>
  <si>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</si>
  <si>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</si>
  <si>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</si>
  <si>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</si>
  <si>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</si>
  <si>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</si>
  <si>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</si>
  <si>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</si>
  <si>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</si>
  <si>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</si>
  <si>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</si>
  <si>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</si>
  <si>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</si>
  <si>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</si>
  <si>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</si>
  <si>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</si>
  <si>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</si>
  <si>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</si>
  <si>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</si>
  <si>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</si>
  <si>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</si>
  <si>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</si>
  <si>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</si>
  <si>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</si>
  <si>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</si>
  <si>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</si>
  <si>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</si>
  <si>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</si>
  <si>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</si>
  <si>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</si>
  <si>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</si>
  <si>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</si>
  <si>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</si>
  <si>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</si>
  <si>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</si>
  <si>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</si>
  <si>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</si>
  <si>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</si>
  <si>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</si>
  <si>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</si>
  <si>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</si>
  <si>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</si>
  <si>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</si>
  <si>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</si>
  <si>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</si>
  <si>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</si>
  <si>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</si>
  <si>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</si>
  <si>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</si>
  <si>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</si>
  <si>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</si>
  <si>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</si>
  <si>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</si>
  <si>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</si>
  <si>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</si>
  <si>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</si>
  <si>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</si>
  <si>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</si>
  <si>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</si>
  <si>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</si>
  <si>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</si>
  <si>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</si>
  <si>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</si>
  <si>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</si>
  <si>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</si>
  <si>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</si>
  <si>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</si>
  <si>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</si>
  <si>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</si>
  <si>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</si>
  <si>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</si>
  <si>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</si>
  <si>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</si>
  <si>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</si>
  <si>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</si>
  <si>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</si>
  <si>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</si>
  <si>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</si>
  <si>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</si>
  <si>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</si>
  <si>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</si>
  <si>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</si>
  <si>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</si>
  <si>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</si>
  <si>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</si>
  <si>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</si>
  <si>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</si>
  <si>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</si>
  <si>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</si>
  <si>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</si>
  <si>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</si>
  <si>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</si>
  <si>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</si>
  <si>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</si>
  <si>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</si>
  <si>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</si>
  <si>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</si>
  <si>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</si>
  <si>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</si>
  <si>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</si>
  <si>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</si>
  <si>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</si>
  <si>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</si>
  <si>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</si>
  <si>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</si>
  <si>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</si>
  <si>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</si>
  <si>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</si>
  <si>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</si>
  <si>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</si>
  <si>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</si>
  <si>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</si>
  <si>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</si>
  <si>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</si>
  <si>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</si>
  <si>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</si>
  <si>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</si>
  <si>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</si>
  <si>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</si>
  <si>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</si>
  <si>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</si>
  <si>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</si>
  <si>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</si>
  <si>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</si>
  <si>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</si>
  <si>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</si>
  <si>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</si>
  <si>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</si>
  <si>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</si>
  <si>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</si>
  <si>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</si>
  <si>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</si>
  <si>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</si>
  <si>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</si>
  <si>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</si>
  <si>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</si>
  <si>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</si>
  <si>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</si>
  <si>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</si>
  <si>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</si>
  <si>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</si>
  <si>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</si>
  <si>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</si>
  <si>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</si>
  <si>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</si>
  <si>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</si>
  <si>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</si>
  <si>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</si>
  <si>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</si>
  <si>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</si>
  <si>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</si>
  <si>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</si>
  <si>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</si>
  <si>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</si>
  <si>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</si>
  <si>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</si>
  <si>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</si>
  <si>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</si>
  <si>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</si>
  <si>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</si>
  <si>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</si>
  <si>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</si>
  <si>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</si>
  <si>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</si>
  <si>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</si>
  <si>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</si>
  <si>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</si>
  <si>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</si>
  <si>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</si>
  <si>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</si>
  <si>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</si>
  <si>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</si>
  <si>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</si>
  <si>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</si>
  <si>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</si>
  <si>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</si>
  <si>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</si>
  <si>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</si>
  <si>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</si>
  <si>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</si>
  <si>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</si>
  <si>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</si>
  <si>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</si>
  <si>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</si>
  <si>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</si>
  <si>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</si>
  <si>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</si>
  <si>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</si>
  <si>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</si>
  <si>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</si>
  <si>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</si>
  <si>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</si>
  <si>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</si>
  <si>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</si>
  <si>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</si>
  <si>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</si>
  <si>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</si>
  <si>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</si>
  <si>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</si>
  <si>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</si>
  <si>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</si>
  <si>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</si>
  <si>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</si>
  <si>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</si>
  <si>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</si>
  <si>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</si>
  <si>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</si>
  <si>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</si>
  <si>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</si>
  <si>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</si>
  <si>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</si>
  <si>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</si>
  <si>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</si>
  <si>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</si>
  <si>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</si>
  <si>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</si>
  <si>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</si>
  <si>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</si>
  <si>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</si>
  <si>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</si>
  <si>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</si>
  <si>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</si>
  <si>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</si>
  <si>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</si>
  <si>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</si>
  <si>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</si>
  <si>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</si>
  <si>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</si>
  <si>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</si>
  <si>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</si>
  <si>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</si>
  <si>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</si>
  <si>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</si>
  <si>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</si>
  <si>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</si>
  <si>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</si>
  <si>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</si>
  <si>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</si>
  <si>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</si>
  <si>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</si>
  <si>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</si>
  <si>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</si>
  <si>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</si>
  <si>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</si>
  <si>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</si>
  <si>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</si>
  <si>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</si>
  <si>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</si>
  <si>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</si>
  <si>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</si>
  <si>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</si>
  <si>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</si>
  <si>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</si>
  <si>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</si>
  <si>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</si>
  <si>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</si>
  <si>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</si>
  <si>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</si>
  <si>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</si>
  <si>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</si>
  <si>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</si>
  <si>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</si>
  <si>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</si>
  <si>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</si>
  <si>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</si>
  <si>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</si>
  <si>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</si>
  <si>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</si>
  <si>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</si>
  <si>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</si>
  <si>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</si>
  <si>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</si>
  <si>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</si>
  <si>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</si>
  <si>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</si>
  <si>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</si>
  <si>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</si>
  <si>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</si>
  <si>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</si>
  <si>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</si>
  <si>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</si>
  <si>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</si>
  <si>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</si>
  <si>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</si>
  <si>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</si>
  <si>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</si>
  <si>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</si>
  <si>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</si>
  <si>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</si>
  <si>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</si>
  <si>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</si>
  <si>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</si>
  <si>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</si>
  <si>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</si>
  <si>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</si>
  <si>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</si>
  <si>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</si>
  <si>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</si>
  <si>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</si>
  <si>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</si>
  <si>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</si>
  <si>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</si>
  <si>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</si>
  <si>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</si>
  <si>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</si>
  <si>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</si>
  <si>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</si>
  <si>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</si>
  <si>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</si>
  <si>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</si>
  <si>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</si>
  <si>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</si>
  <si>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</si>
  <si>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</si>
  <si>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</si>
  <si>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</si>
  <si>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</si>
  <si>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</si>
  <si>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</si>
  <si>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</si>
  <si>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</si>
  <si>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</si>
  <si>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</si>
  <si>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</si>
  <si>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</si>
  <si>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</si>
  <si>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</si>
  <si>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</si>
  <si>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</si>
  <si>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</si>
  <si>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</si>
  <si>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</si>
  <si>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</si>
  <si>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</si>
  <si>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</si>
  <si>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</si>
  <si>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</si>
  <si>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</si>
  <si>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</si>
  <si>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</si>
  <si>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</si>
  <si>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</si>
  <si>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</si>
  <si>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</si>
  <si>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</si>
  <si>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</si>
  <si>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</si>
  <si>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</si>
  <si>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</si>
  <si>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</si>
  <si>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</si>
  <si>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</si>
  <si>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</si>
  <si>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</si>
  <si>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</si>
  <si>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</si>
  <si>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</si>
  <si>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</si>
  <si>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</si>
  <si>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</si>
  <si>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</si>
  <si>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</si>
  <si>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</si>
  <si>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</si>
  <si>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</si>
  <si>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</si>
  <si>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</si>
  <si>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</si>
  <si>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</si>
  <si>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</si>
  <si>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</si>
  <si>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</si>
  <si>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</si>
  <si>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</si>
  <si>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</si>
  <si>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</si>
  <si>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</si>
  <si>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</si>
  <si>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</si>
  <si>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</si>
  <si>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</si>
  <si>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</si>
  <si>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</si>
  <si>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</si>
  <si>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</si>
  <si>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</si>
  <si>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</si>
  <si>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</si>
  <si>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</si>
  <si>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</si>
  <si>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</si>
  <si>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</si>
  <si>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</si>
  <si>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</si>
  <si>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</si>
  <si>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</si>
  <si>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</si>
  <si>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</si>
  <si>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</si>
  <si>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</si>
  <si>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</si>
  <si>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</si>
  <si>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</si>
  <si>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</si>
  <si>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</si>
  <si>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</si>
  <si>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</si>
  <si>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</si>
  <si>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</si>
  <si>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</si>
  <si>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</si>
  <si>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</si>
  <si>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</si>
  <si>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</si>
  <si>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</si>
  <si>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</si>
  <si>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</si>
  <si>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</si>
  <si>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</si>
  <si>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</si>
  <si>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</si>
  <si>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</si>
  <si>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</si>
  <si>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</si>
  <si>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</si>
  <si>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</si>
  <si>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</si>
  <si>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</si>
  <si>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</si>
  <si>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</si>
  <si>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</si>
  <si>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</si>
  <si>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</si>
  <si>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</si>
  <si>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</si>
  <si>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</si>
  <si>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</si>
  <si>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</si>
  <si>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</si>
  <si>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</si>
  <si>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</si>
  <si>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</si>
  <si>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</si>
  <si>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</si>
  <si>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</si>
  <si>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</si>
  <si>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</si>
  <si>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</si>
  <si>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</si>
  <si>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</si>
  <si>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</si>
  <si>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</si>
  <si>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</si>
  <si>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</si>
  <si>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</si>
  <si>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</si>
  <si>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</si>
  <si>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</si>
  <si>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</si>
  <si>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</si>
  <si>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</si>
  <si>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</si>
  <si>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</si>
  <si>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</si>
  <si>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</si>
  <si>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</si>
  <si>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</si>
  <si>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</si>
  <si>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</si>
  <si>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</si>
  <si>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</si>
  <si>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</si>
  <si>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</si>
  <si>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</si>
  <si>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</si>
  <si>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</si>
  <si>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</si>
  <si>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</si>
  <si>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</si>
  <si>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</si>
  <si>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</si>
  <si>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</si>
  <si>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</si>
  <si>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</si>
  <si>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</si>
  <si>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</si>
  <si>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</si>
  <si>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</si>
  <si>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</si>
  <si>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</si>
  <si>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</si>
  <si>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</si>
  <si>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</si>
  <si>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</si>
  <si>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</si>
  <si>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</si>
  <si>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</si>
  <si>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</si>
  <si>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</si>
  <si>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</si>
  <si>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</si>
  <si>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</si>
  <si>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</si>
  <si>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</si>
  <si>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</si>
  <si>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</si>
  <si>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</si>
  <si>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</si>
  <si>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</si>
  <si>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</si>
  <si>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</si>
  <si>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</si>
  <si>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</si>
  <si>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</si>
  <si>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</si>
  <si>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</si>
  <si>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</si>
  <si>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</si>
  <si>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</si>
  <si>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</si>
  <si>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</si>
  <si>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</si>
  <si>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</si>
  <si>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</si>
  <si>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</si>
  <si>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</si>
  <si>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</si>
  <si>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</si>
  <si>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</si>
  <si>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</si>
  <si>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</si>
  <si>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</si>
  <si>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</si>
  <si>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</si>
  <si>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</si>
  <si>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</si>
  <si>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</si>
  <si>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</si>
  <si>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</si>
  <si>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</si>
  <si>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</si>
  <si>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</si>
  <si>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</si>
  <si>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</si>
  <si>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</si>
  <si>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</si>
  <si>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</si>
  <si>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</si>
  <si>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</si>
  <si>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</si>
  <si>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</si>
  <si>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</si>
  <si>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</si>
  <si>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</si>
  <si>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</si>
  <si>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</si>
  <si>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</si>
  <si>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</si>
  <si>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</si>
  <si>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</si>
  <si>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</si>
  <si>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</si>
  <si>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</si>
  <si>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</si>
  <si>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</si>
  <si>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</si>
  <si>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</si>
  <si>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</si>
  <si>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</si>
  <si>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</si>
  <si>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</si>
  <si>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</si>
  <si>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</si>
  <si>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</si>
  <si>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</si>
  <si>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</si>
  <si>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</si>
  <si>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</si>
  <si>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</si>
  <si>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</si>
  <si>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</si>
  <si>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</si>
  <si>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</si>
  <si>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</si>
  <si>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</si>
  <si>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</si>
  <si>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</si>
  <si>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</si>
  <si>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</si>
  <si>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</si>
  <si>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</si>
  <si>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</si>
  <si>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</si>
  <si>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</si>
  <si>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</si>
  <si>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</si>
  <si>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</si>
  <si>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</si>
  <si>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</si>
  <si>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</si>
  <si>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</si>
  <si>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</si>
  <si>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</si>
  <si>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</si>
  <si>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</si>
  <si>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</si>
  <si>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</si>
  <si>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</si>
  <si>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</si>
  <si>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</si>
  <si>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</si>
  <si>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</si>
  <si>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</si>
  <si>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</si>
  <si>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</si>
  <si>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</si>
  <si>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</si>
  <si>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</si>
  <si>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</si>
  <si>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</si>
  <si>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</si>
  <si>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</si>
  <si>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</si>
  <si>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</si>
  <si>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</si>
  <si>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</si>
  <si>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</si>
  <si>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</si>
  <si>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</si>
  <si>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</si>
  <si>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</si>
  <si>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</si>
  <si>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</si>
  <si>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</si>
  <si>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</si>
  <si>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</si>
  <si>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</si>
  <si>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</si>
  <si>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</si>
  <si>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</si>
  <si>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</si>
  <si>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</si>
  <si>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</si>
  <si>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</si>
  <si>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</si>
  <si>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</si>
  <si>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</si>
  <si>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</si>
  <si>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</si>
  <si>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</si>
  <si>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</si>
  <si>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</si>
  <si>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</si>
  <si>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</si>
  <si>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</si>
  <si>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</si>
  <si>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</si>
  <si>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</si>
  <si>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</si>
  <si>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</si>
  <si>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</si>
  <si>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</si>
  <si>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</si>
  <si>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</si>
  <si>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</si>
  <si>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</si>
  <si>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</si>
  <si>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</si>
  <si>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</si>
  <si>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</si>
  <si>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</si>
  <si>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</si>
  <si>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</si>
  <si>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</si>
  <si>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</si>
  <si>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</si>
  <si>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</si>
  <si>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</si>
  <si>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</si>
  <si>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</si>
  <si>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</si>
  <si>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</si>
  <si>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</si>
  <si>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</si>
  <si>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</si>
  <si>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</si>
  <si>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</si>
  <si>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</si>
  <si>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</si>
  <si>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</si>
  <si>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</si>
  <si>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Generation from EIA Midwest region from EIA</t>
  </si>
  <si>
    <t xml:space="preserve">    Natural Ga0</t>
  </si>
  <si>
    <t>Wood/Wood Wa0te</t>
  </si>
  <si>
    <t>Total Electricity Generation by Fuel from EIA forRFC east and west</t>
  </si>
  <si>
    <t>Fossil</t>
  </si>
  <si>
    <t xml:space="preserve">    Other Gase0</t>
  </si>
  <si>
    <t>Pumped storage</t>
  </si>
  <si>
    <t>Energy source</t>
  </si>
  <si>
    <t>MSW Biogenic/Landfill Ga0</t>
  </si>
  <si>
    <t>Other Biomass0</t>
  </si>
  <si>
    <t>Total Electricity Generation by Fuel by computation for West Virginia</t>
  </si>
  <si>
    <t>Contribution of West Virginia</t>
  </si>
  <si>
    <t>Proportion for West Virginia</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</si>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</sst>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2"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color rgb="FF0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8">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0">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0" fontId="51" fillId="0" borderId="0" xfId="0" applyFont="1" applyAlignment="1">
      <alignment wrapText="1"/>
    </xf>
    <xf numFmtId="168" fontId="28" fillId="2" borderId="53" xfId="0" applyNumberFormat="1" applyFont="1" applyFill="1" applyBorder="1" applyAlignment="1">
      <alignment wrapText="1"/>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0" fillId="0" borderId="0" xfId="0"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28" fillId="0" borderId="0" xfId="0" applyFont="1" applyAlignment="1">
      <alignment horizontal="center" vertical="top"/>
    </xf>
    <xf numFmtId="0" fontId="0" fillId="0" borderId="31" xfId="0" applyBorder="1" applyAlignment="1">
      <alignment wrapText="1"/>
    </xf>
    <xf numFmtId="0" fontId="0" fillId="0" borderId="0" xfId="0"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8">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95711944"/>
        <c:axId val="2095680616"/>
      </c:lineChart>
      <c:catAx>
        <c:axId val="209571194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5680616"/>
        <c:crosses val="autoZero"/>
        <c:auto val="1"/>
        <c:lblAlgn val="ctr"/>
        <c:lblOffset val="100"/>
        <c:noMultiLvlLbl val="0"/>
      </c:catAx>
      <c:valAx>
        <c:axId val="2095680616"/>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571194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95463752"/>
        <c:axId val="2092078120"/>
      </c:lineChart>
      <c:catAx>
        <c:axId val="209546375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2078120"/>
        <c:crosses val="autoZero"/>
        <c:auto val="1"/>
        <c:lblAlgn val="ctr"/>
        <c:lblOffset val="100"/>
        <c:noMultiLvlLbl val="0"/>
      </c:catAx>
      <c:valAx>
        <c:axId val="2092078120"/>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546375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13"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4"/>
      <c r="B1" s="534"/>
      <c r="C1" s="534"/>
      <c r="D1" s="534"/>
      <c r="E1" s="534"/>
      <c r="F1" s="534"/>
      <c r="G1" s="534"/>
      <c r="H1" s="534"/>
      <c r="I1" s="534"/>
      <c r="J1" s="534"/>
      <c r="K1" s="534"/>
      <c r="L1" s="534"/>
      <c r="M1" s="534"/>
      <c r="N1" s="534"/>
      <c r="O1" s="534"/>
      <c r="P1" s="534"/>
      <c r="Q1" s="534"/>
      <c r="R1" s="534"/>
      <c r="S1" s="534"/>
      <c r="T1" s="534"/>
    </row>
    <row r="2" spans="1:20" ht="113.25" customHeight="1">
      <c r="A2" s="534"/>
      <c r="B2" s="534"/>
      <c r="C2" s="534"/>
      <c r="D2" s="534"/>
      <c r="E2" s="534"/>
      <c r="F2" s="534"/>
      <c r="G2" s="534"/>
      <c r="H2" s="534"/>
      <c r="I2" s="534"/>
      <c r="J2" s="534"/>
      <c r="K2" s="534"/>
      <c r="L2" s="534"/>
      <c r="M2" s="534"/>
      <c r="N2" s="534"/>
      <c r="O2" s="534"/>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0.24933238827638426</v>
      </c>
      <c r="E7" s="92" t="s">
        <v>519</v>
      </c>
      <c r="F7" s="109"/>
      <c r="G7" s="109"/>
      <c r="H7" s="29" t="s">
        <v>0</v>
      </c>
      <c r="I7" s="29"/>
      <c r="J7" s="29"/>
      <c r="K7" s="29"/>
      <c r="L7" s="29"/>
      <c r="M7" s="7" t="s">
        <v>0</v>
      </c>
      <c r="N7" t="s">
        <v>0</v>
      </c>
      <c r="O7" t="s">
        <v>0</v>
      </c>
      <c r="P7" t="s">
        <v>0</v>
      </c>
    </row>
    <row r="8" spans="1:20" ht="15" thickBot="1">
      <c r="B8" s="1" t="s">
        <v>368</v>
      </c>
      <c r="C8" s="109"/>
      <c r="D8" s="104" t="s">
        <v>342</v>
      </c>
      <c r="E8" s="498" t="s">
        <v>718</v>
      </c>
      <c r="F8" s="109"/>
      <c r="G8" s="498"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4">
        <v>0.2</v>
      </c>
      <c r="D11" s="125">
        <f>'Output - Jobs vs Yr (BAU)'!N18/'Output -Jobs vs Yr'!N14</f>
        <v>4.9564252985373418E-2</v>
      </c>
      <c r="E11" s="497">
        <f>(7.7/3)^(1/6)</f>
        <v>1.1701141873017888</v>
      </c>
      <c r="F11" s="109"/>
      <c r="G11" s="494">
        <f>(12.5/3)^(1/6)</f>
        <v>1.2685223586294079</v>
      </c>
      <c r="H11"/>
      <c r="I11"/>
      <c r="J11"/>
      <c r="K11"/>
      <c r="L11"/>
      <c r="M11" t="s">
        <v>0</v>
      </c>
      <c r="N11" t="s">
        <v>0</v>
      </c>
      <c r="O11" s="111" t="s">
        <v>0</v>
      </c>
      <c r="P11" s="31" t="s">
        <v>0</v>
      </c>
    </row>
    <row r="12" spans="1:20" ht="15" thickBot="1">
      <c r="B12" t="s">
        <v>381</v>
      </c>
      <c r="C12" s="209">
        <v>0.25</v>
      </c>
      <c r="D12" s="125">
        <f>'Output - Jobs vs Yr (BAU)'!X18/'Output -Jobs vs Yr'!X14</f>
        <v>4.9375481149910333E-2</v>
      </c>
      <c r="E12" s="497">
        <f>(D12/D11)^(1/10)</f>
        <v>0.99961848279866961</v>
      </c>
      <c r="F12" s="109"/>
      <c r="G12" s="495">
        <f>(C12/C11)^(1/10)</f>
        <v>1.0225651825635729</v>
      </c>
      <c r="H12"/>
      <c r="I12"/>
      <c r="J12"/>
      <c r="K12"/>
      <c r="L12"/>
      <c r="M12" t="s">
        <v>0</v>
      </c>
      <c r="N12" t="s">
        <v>0</v>
      </c>
      <c r="O12" s="111" t="s">
        <v>0</v>
      </c>
      <c r="P12" s="31" t="s">
        <v>0</v>
      </c>
    </row>
    <row r="13" spans="1:20" ht="15" thickBot="1">
      <c r="B13" t="s">
        <v>578</v>
      </c>
      <c r="C13" s="524">
        <v>0.27</v>
      </c>
      <c r="D13" s="172">
        <f>'Output - Jobs vs Yr (BAU)'!AH18/'Output -Jobs vs Yr'!AH14</f>
        <v>5.1817935683842145E-2</v>
      </c>
      <c r="E13" s="497">
        <f>(D13/D12)^(1/10)</f>
        <v>1.0048399117257625</v>
      </c>
      <c r="F13" s="109"/>
      <c r="G13" s="496">
        <f>(C13/C12)^(1/10)</f>
        <v>1.0077257952426748</v>
      </c>
      <c r="H13"/>
      <c r="I13"/>
      <c r="J13"/>
      <c r="K13"/>
      <c r="L13"/>
      <c r="M13"/>
      <c r="O13" s="111"/>
      <c r="P13" s="31"/>
    </row>
    <row r="14" spans="1:20">
      <c r="B14" t="s">
        <v>579</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1">
        <v>2020</v>
      </c>
      <c r="O16" s="291">
        <v>2030</v>
      </c>
      <c r="P16" s="291">
        <v>2040</v>
      </c>
      <c r="Q16" s="198">
        <v>2031</v>
      </c>
    </row>
    <row r="17" spans="2:17" ht="15" thickBot="1">
      <c r="B17" t="s">
        <v>353</v>
      </c>
      <c r="C17" s="195">
        <f>D17*$C$11/$D$11</f>
        <v>6.8031228590625202E-5</v>
      </c>
      <c r="D17" s="126">
        <f>'Output - Jobs vs Yr (BAU)'!N10/'Output -Jobs vs Yr'!$N$14</f>
        <v>1.6859585123857582E-5</v>
      </c>
      <c r="E17" s="105">
        <f t="shared" ref="E17:E23" si="0">IF($C$24&lt;&gt;0,C17/$C$24,0)</f>
        <v>3.4015614295312594E-4</v>
      </c>
      <c r="F17" s="172">
        <f>C17*$C$12/$C$11</f>
        <v>8.5039035738281499E-5</v>
      </c>
      <c r="G17" s="105">
        <f>'Output - Jobs vs Yr (BAU)'!X10/'Output - Jobs vs Yr (BAU)'!X24</f>
        <v>3.0721294238290301E-5</v>
      </c>
      <c r="H17" s="105">
        <f t="shared" ref="H17:H23" si="1">G17/$G$24</f>
        <v>6.221975756050389E-4</v>
      </c>
      <c r="I17" s="172">
        <f>F17*$C$13/$C$12</f>
        <v>9.1842158597344031E-5</v>
      </c>
      <c r="J17" s="105">
        <f>'Output - Jobs vs Yr (BAU)'!AH10/'Output - Jobs vs Yr (BAU)'!AH24</f>
        <v>3.4326713150423978E-5</v>
      </c>
      <c r="K17" s="105">
        <f>J17/$J$24</f>
        <v>6.6244871350416986E-4</v>
      </c>
      <c r="L17" s="105"/>
      <c r="M17" s="45" t="s">
        <v>259</v>
      </c>
      <c r="N17" s="86">
        <f>HLOOKUP(N16,'Output -Jobs vs Yr'!$H$175:$AH$184,9)</f>
        <v>786.19698544019047</v>
      </c>
      <c r="O17" s="86">
        <f>HLOOKUP(O16,'Output -Jobs vs Yr'!$H$175:$AH$184,9)</f>
        <v>1062.3066008313854</v>
      </c>
      <c r="P17" s="86">
        <f>HLOOKUP(P16,'Output -Jobs vs Yr'!$H$175:$AH$184,9)</f>
        <v>1151.5088383587954</v>
      </c>
      <c r="Q17" s="86">
        <f>HLOOKUP(Q16,'Output -Jobs vs Yr'!$H$175:$AH$184,9)</f>
        <v>1068.4354904719985</v>
      </c>
    </row>
    <row r="18" spans="2:17" ht="15" thickBot="1">
      <c r="B18" s="4" t="s">
        <v>354</v>
      </c>
      <c r="C18" s="195">
        <f>D18*$C$11/$D$11</f>
        <v>4.6294066614992644E-7</v>
      </c>
      <c r="D18" s="126">
        <f>'Output - Jobs vs Yr (BAU)'!N15/'Output -Jobs vs Yr'!$N$14</f>
        <v>1.1472654147136124E-7</v>
      </c>
      <c r="E18" s="105">
        <f t="shared" si="0"/>
        <v>2.3147033307496318E-6</v>
      </c>
      <c r="F18" s="172">
        <f t="shared" ref="F18:F23" si="2">C18*$C$12/$C$11</f>
        <v>5.7867583268740807E-7</v>
      </c>
      <c r="G18" s="105">
        <f>'Output - Jobs vs Yr (BAU)'!X15/'Output - Jobs vs Yr (BAU)'!X24</f>
        <v>1.1314098721380128E-7</v>
      </c>
      <c r="H18" s="105">
        <f t="shared" si="1"/>
        <v>2.2914414802957055E-6</v>
      </c>
      <c r="I18" s="172">
        <f t="shared" ref="I18:I24" si="3">F18*$C$13/$C$12</f>
        <v>6.2496989930240074E-7</v>
      </c>
      <c r="J18" s="105">
        <f>'Output - Jobs vs Yr (BAU)'!AH15/'Output - Jobs vs Yr (BAU)'!AH24</f>
        <v>1.134177440570496E-7</v>
      </c>
      <c r="K18" s="105">
        <f t="shared" ref="K18:K24" si="4">J18/$J$24</f>
        <v>2.1887746231307824E-6</v>
      </c>
      <c r="L18" s="105"/>
      <c r="M18" s="46" t="s">
        <v>260</v>
      </c>
      <c r="N18" s="87">
        <f>HLOOKUP(N16,'Output -Jobs vs Yr'!$H$175:$AH$184,10)</f>
        <v>707.57619740128939</v>
      </c>
      <c r="O18" s="87">
        <f>HLOOKUP(O16,'Output -Jobs vs Yr'!$H$175:$AH$184,10)</f>
        <v>956.07455979492988</v>
      </c>
      <c r="P18" s="87">
        <f>HLOOKUP(P16,'Output -Jobs vs Yr'!$H$175:$AH$184,10)</f>
        <v>1036.35646673265</v>
      </c>
      <c r="Q18" s="87">
        <f>HLOOKUP(Q16,'Output -Jobs vs Yr'!$H$175:$AH$184,10)</f>
        <v>961.59055256602915</v>
      </c>
    </row>
    <row r="19" spans="2:17" ht="15" thickBot="1">
      <c r="B19" s="4" t="s">
        <v>355</v>
      </c>
      <c r="C19" s="195">
        <f>D19*$C$11/$D$11</f>
        <v>4.629406661499264E-12</v>
      </c>
      <c r="D19" s="126">
        <f>'Output - Jobs vs Yr (BAU)'!N11/'Output -Jobs vs Yr'!$N$14</f>
        <v>1.1472654147136125E-12</v>
      </c>
      <c r="E19" s="105">
        <f t="shared" si="0"/>
        <v>2.3147033307496317E-11</v>
      </c>
      <c r="F19" s="172">
        <f t="shared" si="2"/>
        <v>5.78675832687408E-12</v>
      </c>
      <c r="G19" s="105">
        <f>'Output - Jobs vs Yr (BAU)'!X11/'Output - Jobs vs Yr (BAU)'!X24</f>
        <v>1.1314098721380129E-12</v>
      </c>
      <c r="H19" s="105">
        <f t="shared" si="1"/>
        <v>2.2914414802957058E-11</v>
      </c>
      <c r="I19" s="172">
        <f t="shared" si="3"/>
        <v>6.2496989930240072E-12</v>
      </c>
      <c r="J19" s="105">
        <f>'Output - Jobs vs Yr (BAU)'!AH11/'Output - Jobs vs Yr (BAU)'!AH24</f>
        <v>1.1341774405704961E-12</v>
      </c>
      <c r="K19" s="105">
        <f t="shared" si="4"/>
        <v>2.1887746231307826E-11</v>
      </c>
      <c r="L19" s="105"/>
      <c r="M19" s="46" t="s">
        <v>261</v>
      </c>
      <c r="N19" s="87">
        <f>HLOOKUP(N16,'Output -Jobs vs Yr'!$H$175:$AH$184,8)</f>
        <v>1493.7731828414762</v>
      </c>
      <c r="O19" s="87">
        <f>HLOOKUP(O16,'Output -Jobs vs Yr'!$H$175:$AH$184,8)</f>
        <v>2018.3811606263116</v>
      </c>
      <c r="P19" s="87">
        <f>HLOOKUP(P16,'Output -Jobs vs Yr'!$H$175:$AH$184,8)</f>
        <v>2187.8653050914436</v>
      </c>
      <c r="Q19" s="87">
        <f>HLOOKUP(Q16,'Output -Jobs vs Yr'!$H$175:$AH$184,8)</f>
        <v>2030.0260430380258</v>
      </c>
    </row>
    <row r="20" spans="2:17" ht="15" thickBot="1">
      <c r="B20" s="4" t="s">
        <v>51</v>
      </c>
      <c r="C20" s="195">
        <f>D20*$C$11/$D$11</f>
        <v>2.7438784935325816E-6</v>
      </c>
      <c r="D20" s="126">
        <f>'Output - Jobs vs Yr (BAU)'!N12/'Output -Jobs vs Yr'!$N$14</f>
        <v>6.799914390728709E-7</v>
      </c>
      <c r="E20" s="105">
        <f t="shared" si="0"/>
        <v>1.3719392467662905E-5</v>
      </c>
      <c r="F20" s="172">
        <f t="shared" si="2"/>
        <v>3.4298481169157267E-6</v>
      </c>
      <c r="G20" s="105">
        <f>'Output - Jobs vs Yr (BAU)'!X12/'Output - Jobs vs Yr (BAU)'!X24</f>
        <v>6.774828006688558E-7</v>
      </c>
      <c r="H20" s="105">
        <f t="shared" si="1"/>
        <v>1.3721041594819631E-5</v>
      </c>
      <c r="I20" s="172">
        <f t="shared" si="3"/>
        <v>3.7042359662689849E-6</v>
      </c>
      <c r="J20" s="105">
        <f>'Output - Jobs vs Yr (BAU)'!AH12/'Output - Jobs vs Yr (BAU)'!AH24</f>
        <v>6.9294691643468323E-7</v>
      </c>
      <c r="K20" s="105">
        <f t="shared" si="4"/>
        <v>1.3372727860872041E-5</v>
      </c>
      <c r="L20" s="105"/>
      <c r="M20" s="47" t="s">
        <v>459</v>
      </c>
      <c r="N20" s="88">
        <f>HLOOKUP(N16,'Output -Jobs vs Yr'!$H$175:$AH$188,11)-HLOOKUP(N16,'Output -Jobs vs Yr'!$H$175:$AH$188,14)</f>
        <v>4105.0527732115224</v>
      </c>
      <c r="O20" s="88">
        <f>HLOOKUP(O16,'Output -Jobs vs Yr'!$H$175:$AH$188,11)-HLOOKUP(O16,'Output -Jobs vs Yr'!$H$175:$AH$188,14)</f>
        <v>21976.490611913014</v>
      </c>
      <c r="P20" s="88">
        <f>HLOOKUP(P16,'Output -Jobs vs Yr'!$H$175:$AH$188,11)-HLOOKUP(P16,'Output -Jobs vs Yr'!$H$175:$AH$188,14)</f>
        <v>43069.052597471615</v>
      </c>
      <c r="Q20" s="88">
        <f>HLOOKUP(Q16,'Output -Jobs vs Yr'!$H$175:$AH$188,11)-HLOOKUP(Q16,'Output -Jobs vs Yr'!$H$175:$AH$188,14)</f>
        <v>24006.51665495104</v>
      </c>
    </row>
    <row r="21" spans="2:17" ht="15" thickBot="1">
      <c r="B21" t="s">
        <v>356</v>
      </c>
      <c r="C21" s="195">
        <f t="shared" ref="C21:C23" si="5">D21*$C$11/$D$11</f>
        <v>9.2588133229985288E-7</v>
      </c>
      <c r="D21" s="126">
        <f>'Output - Jobs vs Yr (BAU)'!N13/'Output -Jobs vs Yr'!$N$14</f>
        <v>2.2945308294272249E-7</v>
      </c>
      <c r="E21" s="105">
        <f t="shared" si="0"/>
        <v>4.6294066614992637E-6</v>
      </c>
      <c r="F21" s="172">
        <f t="shared" si="2"/>
        <v>1.1573516653748161E-6</v>
      </c>
      <c r="G21" s="105">
        <f>'Output - Jobs vs Yr (BAU)'!X13/'Output - Jobs vs Yr (BAU)'!X24</f>
        <v>2.2628197442760256E-7</v>
      </c>
      <c r="H21" s="105">
        <f t="shared" si="1"/>
        <v>4.5828829605914109E-6</v>
      </c>
      <c r="I21" s="172">
        <f t="shared" si="3"/>
        <v>1.2499397986048015E-6</v>
      </c>
      <c r="J21" s="105">
        <f>'Output - Jobs vs Yr (BAU)'!AH13/'Output - Jobs vs Yr (BAU)'!AH24</f>
        <v>2.2683548811409921E-7</v>
      </c>
      <c r="K21" s="105">
        <f t="shared" si="4"/>
        <v>4.3775492462615648E-6</v>
      </c>
      <c r="L21" s="105"/>
      <c r="N21" s="160"/>
    </row>
    <row r="22" spans="2:17" ht="15" thickBot="1">
      <c r="B22" s="4" t="s">
        <v>357</v>
      </c>
      <c r="C22" s="195">
        <f t="shared" si="5"/>
        <v>4.6294066614992644E-7</v>
      </c>
      <c r="D22" s="126">
        <f>'Output - Jobs vs Yr (BAU)'!N14/'Output -Jobs vs Yr'!$N$14</f>
        <v>1.1472654147136124E-7</v>
      </c>
      <c r="E22" s="105">
        <f t="shared" si="0"/>
        <v>2.3147033307496318E-6</v>
      </c>
      <c r="F22" s="172">
        <f t="shared" si="2"/>
        <v>5.7867583268740807E-7</v>
      </c>
      <c r="G22" s="105">
        <f>'Output - Jobs vs Yr (BAU)'!X14/'Output - Jobs vs Yr (BAU)'!X24</f>
        <v>1.1314098721380128E-7</v>
      </c>
      <c r="H22" s="105">
        <f t="shared" si="1"/>
        <v>2.2914414802957055E-6</v>
      </c>
      <c r="I22" s="172">
        <f t="shared" si="3"/>
        <v>6.2496989930240074E-7</v>
      </c>
      <c r="J22" s="105">
        <f>'Output - Jobs vs Yr (BAU)'!AH14/'Output - Jobs vs Yr (BAU)'!AH24</f>
        <v>1.134177440570496E-7</v>
      </c>
      <c r="K22" s="105">
        <f t="shared" si="4"/>
        <v>2.1887746231307824E-6</v>
      </c>
      <c r="L22" s="105"/>
      <c r="O22" t="s">
        <v>0</v>
      </c>
    </row>
    <row r="23" spans="2:17" ht="15" thickBot="1">
      <c r="B23" t="s">
        <v>358</v>
      </c>
      <c r="C23" s="195">
        <f t="shared" si="5"/>
        <v>0.19992737312562187</v>
      </c>
      <c r="D23" s="126">
        <f>'Output - Jobs vs Yr (BAU)'!N16/'Output -Jobs vs Yr'!$N$14</f>
        <v>4.9546254501497342E-2</v>
      </c>
      <c r="E23" s="105">
        <f t="shared" si="0"/>
        <v>0.99963686562810916</v>
      </c>
      <c r="F23" s="172">
        <f t="shared" si="2"/>
        <v>0.24990921640702732</v>
      </c>
      <c r="G23" s="105">
        <f>'Output - Jobs vs Yr (BAU)'!X16/'Output - Jobs vs Yr (BAU)'!X24</f>
        <v>4.9343613048619082E-2</v>
      </c>
      <c r="H23" s="105">
        <f t="shared" si="1"/>
        <v>0.99935491559396461</v>
      </c>
      <c r="I23" s="172">
        <f t="shared" si="3"/>
        <v>0.26990195371958953</v>
      </c>
      <c r="J23" s="105">
        <f>'Output - Jobs vs Yr (BAU)'!AH16/'Output - Jobs vs Yr (BAU)'!AH24</f>
        <v>5.1782444720444784E-2</v>
      </c>
      <c r="K23" s="105">
        <f t="shared" si="4"/>
        <v>0.99931542343825464</v>
      </c>
      <c r="L23" s="105"/>
      <c r="M23" s="44"/>
      <c r="N23" s="197"/>
      <c r="O23" t="s">
        <v>0</v>
      </c>
    </row>
    <row r="24" spans="2:17">
      <c r="B24" s="108" t="s">
        <v>370</v>
      </c>
      <c r="C24" s="137">
        <f t="shared" ref="C24:H24" si="6">SUM(C17:C23)</f>
        <v>0.20000000000000004</v>
      </c>
      <c r="D24" s="205">
        <f t="shared" si="6"/>
        <v>4.9564252985373425E-2</v>
      </c>
      <c r="E24" s="200">
        <f t="shared" si="6"/>
        <v>1</v>
      </c>
      <c r="F24" s="200">
        <f t="shared" si="6"/>
        <v>0.25</v>
      </c>
      <c r="G24" s="200">
        <f t="shared" si="6"/>
        <v>4.9375464390738304E-2</v>
      </c>
      <c r="H24" s="105">
        <f t="shared" si="6"/>
        <v>1</v>
      </c>
      <c r="I24" s="172">
        <f t="shared" si="3"/>
        <v>0.27</v>
      </c>
      <c r="J24" s="105">
        <f>SUM(J17:J23)</f>
        <v>5.181791805262205E-2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20%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3.0243933500414429E-2</v>
      </c>
      <c r="D28" s="105">
        <f>('Output - Jobs vs Yr (BAU)'!N8+'Output - Jobs vs Yr (BAU)'!N7)/'Output -Jobs vs Yr'!N14</f>
        <v>3.0243933500414429E-2</v>
      </c>
      <c r="E28" s="136" t="s">
        <v>0</v>
      </c>
      <c r="F28" s="98"/>
      <c r="G28" s="98" t="s">
        <v>0</v>
      </c>
      <c r="H28" s="135" t="s">
        <v>0</v>
      </c>
      <c r="I28" s="135"/>
      <c r="J28" s="135"/>
      <c r="K28" s="135"/>
      <c r="L28" s="135"/>
      <c r="M28"/>
    </row>
    <row r="29" spans="2:17" ht="15" thickBot="1">
      <c r="B29" t="s">
        <v>372</v>
      </c>
      <c r="C29" s="278">
        <f>D29</f>
        <v>3.1792848384275409E-2</v>
      </c>
      <c r="D29" s="105">
        <f>('Output - Jobs vs Yr (BAU)'!X8+'Output - Jobs vs Yr (BAU)'!X7)/'Output -Jobs vs Yr'!X14</f>
        <v>3.1792848384275409E-2</v>
      </c>
      <c r="E29" s="107"/>
      <c r="F29" s="98"/>
      <c r="G29" s="96"/>
      <c r="H29"/>
      <c r="I29"/>
      <c r="J29"/>
      <c r="K29"/>
      <c r="L29"/>
    </row>
    <row r="30" spans="2:17" ht="15" thickBot="1">
      <c r="B30" t="s">
        <v>580</v>
      </c>
      <c r="C30" s="210">
        <f>D30</f>
        <v>3.3662118888979464E-2</v>
      </c>
      <c r="D30" s="105">
        <f>('Output - Jobs vs Yr (BAU)'!AH8+'Output - Jobs vs Yr (BAU)'!AH7)/'Output -Jobs vs Yr'!AH14</f>
        <v>3.3662118888979464E-2</v>
      </c>
      <c r="E30" s="107"/>
      <c r="F30" s="98"/>
      <c r="G30" s="96"/>
      <c r="H30"/>
      <c r="I30"/>
      <c r="J30"/>
      <c r="K30"/>
      <c r="L30"/>
    </row>
    <row r="31" spans="2:17">
      <c r="B31" t="s">
        <v>581</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707</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3.0243933500414429E-2</v>
      </c>
      <c r="D35" s="105">
        <f>'Output - Jobs vs Yr (BAU)'!N7/'Output -Jobs vs Yr'!N14</f>
        <v>3.0243933500414429E-2</v>
      </c>
      <c r="E35" s="203">
        <f>C35</f>
        <v>3.0243933500414429E-2</v>
      </c>
      <c r="F35" s="200">
        <f>C35*$C$29/$C$28</f>
        <v>3.1792848384275409E-2</v>
      </c>
      <c r="G35" s="204">
        <f>'Output - Jobs vs Yr (BAU)'!X7/'Output - Jobs vs Yr (BAU)'!X24</f>
        <v>3.1792837593052667E-2</v>
      </c>
      <c r="H35" s="200">
        <f>F35*$C$30/$C$29</f>
        <v>3.3662118888979464E-2</v>
      </c>
      <c r="I35" s="204">
        <f>'Output - Jobs vs Yr (BAU)'!AH7/'Output - Jobs vs Yr (BAU)'!AH24</f>
        <v>3.3662107435334709E-2</v>
      </c>
      <c r="J35"/>
      <c r="K35"/>
      <c r="L35"/>
    </row>
    <row r="36" spans="1:18" ht="15" thickBot="1">
      <c r="B36" s="4" t="s">
        <v>365</v>
      </c>
      <c r="C36" s="209">
        <f>D36</f>
        <v>0</v>
      </c>
      <c r="D36" s="105">
        <f>'Output - Jobs vs Yr (BAU)'!N8/'Output -Jobs vs Yr'!N14</f>
        <v>0</v>
      </c>
      <c r="E36" s="203">
        <f>C36</f>
        <v>0</v>
      </c>
      <c r="F36" s="200">
        <f>C36*$C$29/$C$28</f>
        <v>0</v>
      </c>
      <c r="G36" s="204">
        <f>'Output - Jobs vs Yr (BAU)'!X8/'Output - Jobs vs Yr (BAU)'!X24</f>
        <v>0</v>
      </c>
      <c r="H36" s="200">
        <f>F36*$C$30/$C$29</f>
        <v>0</v>
      </c>
      <c r="I36" s="204">
        <f>'Output - Jobs vs Yr (BAU)'!AH8/'Output - Jobs vs Yr (BAU)'!AH24</f>
        <v>0</v>
      </c>
      <c r="J36"/>
      <c r="K36"/>
      <c r="L36"/>
    </row>
    <row r="37" spans="1:18">
      <c r="B37" s="4" t="s">
        <v>369</v>
      </c>
      <c r="C37" s="138">
        <f>SUM(C35:C36)+'Output -Jobs vs Yr'!N30/'Output -Jobs vs Yr'!N49</f>
        <v>3.0243933500414429E-2</v>
      </c>
      <c r="D37" s="105">
        <f>SUM(D34:D36)</f>
        <v>3.0243933500414429E-2</v>
      </c>
      <c r="E37" s="203">
        <f>SUM(E34:E36)</f>
        <v>3.0243933500414429E-2</v>
      </c>
      <c r="F37" s="203">
        <f>SUM(F34:F36)</f>
        <v>3.1792848384275409E-2</v>
      </c>
      <c r="G37" s="203">
        <f>SUM(G34:G36)</f>
        <v>3.1792837593052667E-2</v>
      </c>
      <c r="H37" s="200">
        <f>C37*$C$30/$C$28</f>
        <v>3.3662118888979464E-2</v>
      </c>
      <c r="I37" s="203">
        <f>SUM(I34:I36)</f>
        <v>3.3662107435334709E-2</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3%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0.20000000000000004</v>
      </c>
      <c r="D40" s="105" t="s">
        <v>0</v>
      </c>
      <c r="E40" s="105" t="s">
        <v>0</v>
      </c>
      <c r="F40" s="105" t="s">
        <v>0</v>
      </c>
      <c r="G40" s="103" t="s">
        <v>0</v>
      </c>
      <c r="H40"/>
      <c r="I40"/>
      <c r="J40"/>
      <c r="K40"/>
      <c r="L40"/>
    </row>
    <row r="41" spans="1:18">
      <c r="B41" s="4" t="s">
        <v>375</v>
      </c>
      <c r="C41" s="105">
        <f>C24+C37</f>
        <v>0.23024393350041447</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7"/>
      <c r="J44" s="277"/>
      <c r="K44" s="277"/>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523</v>
      </c>
    </row>
    <row r="46" spans="1:18" s="1" customFormat="1" ht="15" thickBot="1">
      <c r="A46"/>
      <c r="B46" s="4" t="s">
        <v>121</v>
      </c>
      <c r="C46" s="84">
        <v>0.21</v>
      </c>
      <c r="D46" s="4" t="s">
        <v>0</v>
      </c>
      <c r="E46" s="28" t="s">
        <v>524</v>
      </c>
      <c r="F46" s="28"/>
      <c r="H46" s="49">
        <v>0.9</v>
      </c>
      <c r="I46" s="277"/>
      <c r="J46" s="277"/>
      <c r="K46" s="277"/>
      <c r="L46"/>
      <c r="M46" s="12">
        <f t="shared" si="7"/>
        <v>0.39900000000000002</v>
      </c>
      <c r="N46" s="28" t="s">
        <v>524</v>
      </c>
      <c r="O46"/>
      <c r="P46"/>
      <c r="Q46"/>
      <c r="R46"/>
    </row>
    <row r="47" spans="1:18" s="1" customFormat="1" ht="15" thickBot="1">
      <c r="A47"/>
      <c r="B47" s="4" t="s">
        <v>118</v>
      </c>
      <c r="C47" s="42">
        <v>0.18</v>
      </c>
      <c r="D47" s="4"/>
      <c r="E47" s="28" t="s">
        <v>524</v>
      </c>
      <c r="F47" s="28"/>
      <c r="H47" s="49">
        <v>0.9</v>
      </c>
      <c r="I47" s="277"/>
      <c r="J47" s="277"/>
      <c r="K47" s="277"/>
      <c r="L47"/>
      <c r="M47" s="12">
        <f t="shared" si="7"/>
        <v>0.34199999999999997</v>
      </c>
      <c r="N47" s="28" t="s">
        <v>524</v>
      </c>
      <c r="O47"/>
      <c r="P47"/>
      <c r="Q47"/>
    </row>
    <row r="48" spans="1:18" ht="15" thickBot="1">
      <c r="B48" s="4" t="s">
        <v>49</v>
      </c>
      <c r="C48" s="42">
        <v>0.15</v>
      </c>
      <c r="D48" s="4"/>
      <c r="E48" s="28" t="s">
        <v>524</v>
      </c>
      <c r="F48" s="28"/>
      <c r="G48" s="1"/>
      <c r="H48" s="49">
        <v>0.9</v>
      </c>
      <c r="I48" s="277"/>
      <c r="J48" s="277"/>
      <c r="K48" s="277"/>
      <c r="L48"/>
      <c r="M48" s="12">
        <f t="shared" si="7"/>
        <v>0.28500000000000003</v>
      </c>
      <c r="N48" s="28" t="s">
        <v>524</v>
      </c>
    </row>
    <row r="49" spans="1:17" s="1" customFormat="1" ht="15" thickBot="1">
      <c r="A49"/>
      <c r="B49" s="4" t="s">
        <v>50</v>
      </c>
      <c r="C49" s="42">
        <v>0.25</v>
      </c>
      <c r="D49" s="4" t="s">
        <v>0</v>
      </c>
      <c r="E49" s="28" t="s">
        <v>524</v>
      </c>
      <c r="F49" s="28"/>
      <c r="H49" s="49">
        <v>0.9</v>
      </c>
      <c r="I49" s="277"/>
      <c r="J49" s="277"/>
      <c r="K49" s="277"/>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7"/>
      <c r="J50" s="277"/>
      <c r="K50" s="277"/>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7"/>
      <c r="J51" s="277"/>
      <c r="K51" s="277"/>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7"/>
      <c r="J52" s="277"/>
      <c r="K52" s="277"/>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7"/>
      <c r="J53" s="277"/>
      <c r="K53" s="277"/>
      <c r="L53"/>
      <c r="M53" s="161">
        <f t="shared" si="7"/>
        <v>0.26600000000000001</v>
      </c>
      <c r="N53" s="28" t="s">
        <v>524</v>
      </c>
    </row>
    <row r="54" spans="1:17" ht="15" thickBot="1">
      <c r="B54" s="4" t="s">
        <v>347</v>
      </c>
      <c r="C54" s="84">
        <v>0.79</v>
      </c>
      <c r="D54" s="4" t="s">
        <v>0</v>
      </c>
      <c r="E54" s="28" t="s">
        <v>524</v>
      </c>
      <c r="F54" s="28"/>
      <c r="G54" s="110"/>
      <c r="H54" s="49">
        <v>0.9</v>
      </c>
      <c r="I54" s="277"/>
      <c r="J54" s="277"/>
      <c r="K54" s="277"/>
      <c r="L54"/>
      <c r="M54" s="12">
        <f t="shared" si="7"/>
        <v>1.5010000000000001</v>
      </c>
      <c r="N54" s="28" t="s">
        <v>524</v>
      </c>
    </row>
    <row r="55" spans="1:17" ht="15" thickBot="1">
      <c r="B55" s="4" t="s">
        <v>348</v>
      </c>
      <c r="C55" s="84">
        <v>0.23</v>
      </c>
      <c r="D55" s="4"/>
      <c r="E55" s="28" t="s">
        <v>524</v>
      </c>
      <c r="F55" s="28"/>
      <c r="G55" s="110"/>
      <c r="H55" s="49">
        <v>0.9</v>
      </c>
      <c r="I55" s="277"/>
      <c r="J55" s="277"/>
      <c r="K55" s="277"/>
      <c r="L55"/>
      <c r="M55" s="12">
        <f t="shared" si="7"/>
        <v>0.43700000000000006</v>
      </c>
      <c r="N55" s="28" t="s">
        <v>524</v>
      </c>
    </row>
    <row r="56" spans="1:17" ht="15.75" hidden="1" customHeight="1" thickBot="1">
      <c r="B56" s="4" t="s">
        <v>120</v>
      </c>
      <c r="C56" s="42">
        <v>0.11</v>
      </c>
      <c r="D56" s="4"/>
      <c r="E56" s="28" t="s">
        <v>524</v>
      </c>
      <c r="F56" s="28"/>
      <c r="G56" s="110"/>
      <c r="H56" s="49">
        <v>0.8</v>
      </c>
      <c r="I56" s="277"/>
      <c r="J56" s="277"/>
      <c r="K56" s="277"/>
      <c r="L56"/>
      <c r="M56" s="12">
        <f t="shared" si="7"/>
        <v>0.19800000000000001</v>
      </c>
      <c r="N56" s="28"/>
    </row>
    <row r="57" spans="1:17" ht="15" thickBot="1">
      <c r="B57" s="4" t="s">
        <v>53</v>
      </c>
      <c r="C57" s="84">
        <v>0.17</v>
      </c>
      <c r="D57" s="4" t="s">
        <v>0</v>
      </c>
      <c r="E57" s="28" t="s">
        <v>524</v>
      </c>
      <c r="F57" s="28"/>
      <c r="G57" s="110"/>
      <c r="H57" s="49">
        <v>0.9</v>
      </c>
      <c r="I57" s="277"/>
      <c r="J57" s="277"/>
      <c r="K57" s="277"/>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524</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524</v>
      </c>
      <c r="F60" s="28"/>
      <c r="G60" s="110"/>
      <c r="H60" s="49">
        <v>0.9</v>
      </c>
      <c r="I60" s="277"/>
      <c r="J60" s="277"/>
      <c r="K60" s="277"/>
      <c r="L60"/>
      <c r="M60" s="161">
        <f t="shared" si="7"/>
        <v>0.20900000000000002</v>
      </c>
      <c r="N60" s="28" t="s">
        <v>524</v>
      </c>
    </row>
    <row r="61" spans="1:17" ht="15" thickBot="1">
      <c r="B61" s="4" t="s">
        <v>76</v>
      </c>
      <c r="C61" s="42">
        <v>0.11</v>
      </c>
      <c r="D61" s="4"/>
      <c r="E61" s="28" t="s">
        <v>524</v>
      </c>
      <c r="F61" s="28"/>
      <c r="G61" s="110"/>
      <c r="H61" s="49">
        <v>0.9</v>
      </c>
      <c r="I61" s="277"/>
      <c r="J61" s="277"/>
      <c r="K61" s="277"/>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705</v>
      </c>
    </row>
    <row r="2" spans="1:37">
      <c r="A2" s="272" t="s">
        <v>657</v>
      </c>
    </row>
    <row r="3" spans="1:37">
      <c r="A3" s="272" t="s">
        <v>658</v>
      </c>
    </row>
    <row r="5" spans="1:37">
      <c r="A5" s="6" t="s">
        <v>185</v>
      </c>
    </row>
    <row r="6" spans="1:37">
      <c r="A6" s="6" t="s">
        <v>184</v>
      </c>
    </row>
    <row r="9" spans="1:37">
      <c r="AK9" s="300" t="s">
        <v>715</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582</v>
      </c>
      <c r="AB10" s="300" t="s">
        <v>583</v>
      </c>
      <c r="AC10" s="300" t="s">
        <v>584</v>
      </c>
      <c r="AD10" s="300" t="s">
        <v>585</v>
      </c>
      <c r="AE10" s="300" t="s">
        <v>586</v>
      </c>
      <c r="AF10" s="300" t="s">
        <v>587</v>
      </c>
      <c r="AG10" s="300" t="s">
        <v>588</v>
      </c>
      <c r="AH10" s="300" t="s">
        <v>589</v>
      </c>
      <c r="AI10" s="300" t="s">
        <v>590</v>
      </c>
      <c r="AJ10" s="300" t="s">
        <v>591</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691</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692</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693</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695</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694</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696</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697</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698</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699</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700</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701</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702</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703</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704</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595</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3" t="s">
        <v>596</v>
      </c>
      <c r="B78" s="563"/>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298"/>
      <c r="AH78" s="298"/>
      <c r="AI78" s="298"/>
      <c r="AJ78" s="298"/>
      <c r="AK78" s="298"/>
    </row>
    <row r="79" spans="1:37" customFormat="1" ht="15" customHeight="1">
      <c r="A79" s="564" t="s">
        <v>597</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297"/>
      <c r="AH79" s="297"/>
      <c r="AI79" s="297"/>
      <c r="AJ79" s="297"/>
      <c r="AK79" s="297"/>
    </row>
    <row r="80" spans="1:37" customFormat="1" ht="15" customHeight="1">
      <c r="A80" s="564" t="s">
        <v>598</v>
      </c>
      <c r="B80" s="564"/>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297"/>
      <c r="AH80" s="297"/>
      <c r="AI80" s="297"/>
      <c r="AJ80" s="297"/>
      <c r="AK80" s="297"/>
    </row>
    <row r="81" spans="1:37" customFormat="1" ht="15" customHeight="1">
      <c r="A81" s="564" t="s">
        <v>599</v>
      </c>
      <c r="B81" s="564"/>
      <c r="C81" s="564"/>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297"/>
      <c r="AH81" s="297"/>
      <c r="AI81" s="297"/>
      <c r="AJ81" s="297"/>
      <c r="AK81" s="297"/>
    </row>
    <row r="82" spans="1:37" customFormat="1" ht="15" customHeight="1">
      <c r="A82" s="564" t="s">
        <v>600</v>
      </c>
      <c r="B82" s="564"/>
      <c r="C82" s="564"/>
      <c r="D82" s="564"/>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297"/>
      <c r="AH82" s="297"/>
      <c r="AI82" s="297"/>
      <c r="AJ82" s="297"/>
      <c r="AK82" s="297"/>
    </row>
    <row r="83" spans="1:37" customFormat="1" ht="15" customHeight="1">
      <c r="A83" s="564" t="s">
        <v>601</v>
      </c>
      <c r="B83" s="564"/>
      <c r="C83" s="564"/>
      <c r="D83" s="564"/>
      <c r="E83" s="564"/>
      <c r="F83" s="564"/>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c r="AD83" s="564"/>
      <c r="AE83" s="564"/>
      <c r="AF83" s="564"/>
      <c r="AG83" s="297"/>
      <c r="AH83" s="297"/>
      <c r="AI83" s="297"/>
      <c r="AJ83" s="297"/>
      <c r="AK83" s="297"/>
    </row>
    <row r="84" spans="1:37" customFormat="1" ht="15" customHeight="1">
      <c r="A84" s="564" t="s">
        <v>602</v>
      </c>
      <c r="B84" s="564"/>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297"/>
      <c r="AH84" s="297"/>
      <c r="AI84" s="297"/>
      <c r="AJ84" s="297"/>
      <c r="AK84" s="297"/>
    </row>
    <row r="85" spans="1:37" customFormat="1" ht="15" customHeight="1">
      <c r="A85" s="564" t="s">
        <v>603</v>
      </c>
      <c r="B85" s="564"/>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297"/>
      <c r="AH85" s="297"/>
      <c r="AI85" s="297"/>
      <c r="AJ85" s="297"/>
      <c r="AK85" s="297"/>
    </row>
    <row r="86" spans="1:37" customFormat="1" ht="15" customHeight="1">
      <c r="A86" s="564" t="s">
        <v>604</v>
      </c>
      <c r="B86" s="564"/>
      <c r="C86" s="564"/>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c r="AD86" s="564"/>
      <c r="AE86" s="564"/>
      <c r="AF86" s="564"/>
      <c r="AG86" s="297"/>
      <c r="AH86" s="297"/>
      <c r="AI86" s="297"/>
      <c r="AJ86" s="297"/>
      <c r="AK86" s="297"/>
    </row>
    <row r="87" spans="1:37" customFormat="1" ht="15" customHeight="1">
      <c r="A87" s="564" t="s">
        <v>605</v>
      </c>
      <c r="B87" s="564"/>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297"/>
      <c r="AH87" s="297"/>
      <c r="AI87" s="297"/>
      <c r="AJ87" s="297"/>
      <c r="AK87" s="297"/>
    </row>
    <row r="88" spans="1:37" customFormat="1" ht="15" customHeight="1">
      <c r="A88" s="564" t="s">
        <v>606</v>
      </c>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c r="AG88" s="297"/>
      <c r="AH88" s="297"/>
      <c r="AI88" s="297"/>
      <c r="AJ88" s="297"/>
      <c r="AK88" s="297"/>
    </row>
    <row r="89" spans="1:37" customFormat="1" ht="15" customHeight="1">
      <c r="A89" s="564" t="s">
        <v>607</v>
      </c>
      <c r="B89" s="564"/>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297"/>
      <c r="AH89" s="297"/>
      <c r="AI89" s="297"/>
      <c r="AJ89" s="297"/>
      <c r="AK89" s="297"/>
    </row>
    <row r="90" spans="1:37" customFormat="1" ht="15" customHeight="1">
      <c r="A90" s="564" t="s">
        <v>608</v>
      </c>
      <c r="B90" s="564"/>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c r="AG90" s="297"/>
      <c r="AH90" s="297"/>
      <c r="AI90" s="297"/>
      <c r="AJ90" s="297"/>
      <c r="AK90" s="297"/>
    </row>
    <row r="91" spans="1:37" customFormat="1" ht="15" customHeight="1">
      <c r="A91" s="564" t="s">
        <v>609</v>
      </c>
      <c r="B91" s="564"/>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c r="AG91" s="297"/>
      <c r="AH91" s="297"/>
      <c r="AI91" s="297"/>
      <c r="AJ91" s="297"/>
      <c r="AK91" s="297"/>
    </row>
    <row r="92" spans="1:37" customFormat="1" ht="15" customHeight="1">
      <c r="A92" s="564" t="s">
        <v>610</v>
      </c>
      <c r="B92" s="564"/>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297"/>
      <c r="AH92" s="297"/>
      <c r="AI92" s="297"/>
      <c r="AJ92" s="297"/>
      <c r="AK92" s="297"/>
    </row>
    <row r="93" spans="1:37" customFormat="1" ht="15" customHeight="1">
      <c r="A93" s="564" t="s">
        <v>611</v>
      </c>
      <c r="B93" s="564"/>
      <c r="C93" s="564"/>
      <c r="D93" s="564"/>
      <c r="E93" s="5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c r="AG93" s="297"/>
      <c r="AH93" s="297"/>
      <c r="AI93" s="297"/>
      <c r="AJ93" s="297"/>
      <c r="AK93" s="297"/>
    </row>
    <row r="94" spans="1:37" customFormat="1" ht="15" customHeight="1">
      <c r="A94" s="564" t="s">
        <v>612</v>
      </c>
      <c r="B94" s="564"/>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c r="AD94" s="564"/>
      <c r="AE94" s="564"/>
      <c r="AF94" s="564"/>
      <c r="AG94" s="297"/>
      <c r="AH94" s="297"/>
      <c r="AI94" s="297"/>
      <c r="AJ94" s="297"/>
      <c r="AK94" s="297"/>
    </row>
    <row r="95" spans="1:37" customFormat="1" ht="15" customHeight="1">
      <c r="A95" s="564" t="s">
        <v>613</v>
      </c>
      <c r="B95" s="564"/>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c r="AD95" s="564"/>
      <c r="AE95" s="564"/>
      <c r="AF95" s="564"/>
      <c r="AG95" s="297"/>
      <c r="AH95" s="297"/>
      <c r="AI95" s="297"/>
      <c r="AJ95" s="297"/>
      <c r="AK95" s="297"/>
    </row>
    <row r="96" spans="1:37" customFormat="1" ht="15" customHeight="1">
      <c r="A96" s="564" t="s">
        <v>614</v>
      </c>
      <c r="B96" s="564"/>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c r="AG96" s="297"/>
      <c r="AH96" s="297"/>
      <c r="AI96" s="297"/>
      <c r="AJ96" s="297"/>
      <c r="AK96" s="297"/>
    </row>
    <row r="97" spans="1:37" customFormat="1" ht="15" customHeight="1">
      <c r="A97" s="564" t="s">
        <v>615</v>
      </c>
      <c r="B97" s="564"/>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297"/>
      <c r="AH97" s="297"/>
      <c r="AI97" s="297"/>
      <c r="AJ97" s="297"/>
      <c r="AK97" s="297"/>
    </row>
    <row r="98" spans="1:37" customFormat="1" ht="15" customHeight="1">
      <c r="A98" s="564" t="s">
        <v>616</v>
      </c>
      <c r="B98" s="564"/>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c r="AG98" s="297"/>
      <c r="AH98" s="297"/>
      <c r="AI98" s="297"/>
      <c r="AJ98" s="297"/>
      <c r="AK98" s="297"/>
    </row>
    <row r="99" spans="1:37" customFormat="1" ht="15" customHeight="1">
      <c r="A99" s="564" t="s">
        <v>617</v>
      </c>
      <c r="B99" s="564"/>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c r="AF99" s="564"/>
      <c r="AG99" s="297"/>
      <c r="AH99" s="297"/>
      <c r="AI99" s="297"/>
      <c r="AJ99" s="297"/>
      <c r="AK99" s="297"/>
    </row>
    <row r="100" spans="1:37" customFormat="1" ht="15" customHeight="1">
      <c r="A100" s="564" t="s">
        <v>618</v>
      </c>
      <c r="B100" s="564"/>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c r="AD100" s="564"/>
      <c r="AE100" s="564"/>
      <c r="AF100" s="564"/>
      <c r="AG100" s="297"/>
      <c r="AH100" s="297"/>
      <c r="AI100" s="297"/>
      <c r="AJ100" s="297"/>
      <c r="AK100" s="297"/>
    </row>
    <row r="101" spans="1:37" customFormat="1" ht="15" customHeight="1">
      <c r="A101" s="564" t="s">
        <v>619</v>
      </c>
      <c r="B101" s="564"/>
      <c r="C101" s="564"/>
      <c r="D101" s="564"/>
      <c r="E101" s="564"/>
      <c r="F101" s="564"/>
      <c r="G101" s="564"/>
      <c r="H101" s="564"/>
      <c r="I101" s="564"/>
      <c r="J101" s="564"/>
      <c r="K101" s="564"/>
      <c r="L101" s="564"/>
      <c r="M101" s="564"/>
      <c r="N101" s="564"/>
      <c r="O101" s="564"/>
      <c r="P101" s="564"/>
      <c r="Q101" s="564"/>
      <c r="R101" s="564"/>
      <c r="S101" s="564"/>
      <c r="T101" s="564"/>
      <c r="U101" s="564"/>
      <c r="V101" s="564"/>
      <c r="W101" s="564"/>
      <c r="X101" s="564"/>
      <c r="Y101" s="564"/>
      <c r="Z101" s="564"/>
      <c r="AA101" s="564"/>
      <c r="AB101" s="564"/>
      <c r="AC101" s="564"/>
      <c r="AD101" s="564"/>
      <c r="AE101" s="564"/>
      <c r="AF101" s="564"/>
      <c r="AG101" s="297"/>
      <c r="AH101" s="297"/>
      <c r="AI101" s="297"/>
      <c r="AJ101" s="297"/>
      <c r="AK101" s="297"/>
    </row>
    <row r="102" spans="1:37" customFormat="1" ht="15" customHeight="1">
      <c r="A102" s="564" t="s">
        <v>620</v>
      </c>
      <c r="B102" s="564"/>
      <c r="C102" s="564"/>
      <c r="D102" s="564"/>
      <c r="E102" s="564"/>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564"/>
      <c r="AD102" s="564"/>
      <c r="AE102" s="564"/>
      <c r="AF102" s="564"/>
      <c r="AG102" s="297"/>
      <c r="AH102" s="297"/>
      <c r="AI102" s="297"/>
      <c r="AJ102" s="297"/>
      <c r="AK102" s="297"/>
    </row>
    <row r="103" spans="1:37" customFormat="1" ht="15" customHeight="1">
      <c r="A103" s="564" t="s">
        <v>621</v>
      </c>
      <c r="B103" s="564"/>
      <c r="C103" s="564"/>
      <c r="D103" s="564"/>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4"/>
      <c r="AD103" s="564"/>
      <c r="AE103" s="564"/>
      <c r="AF103" s="564"/>
      <c r="AG103" s="297"/>
      <c r="AH103" s="297"/>
      <c r="AI103" s="297"/>
      <c r="AJ103" s="297"/>
      <c r="AK103" s="297"/>
    </row>
    <row r="104" spans="1:37" customFormat="1" ht="15" customHeight="1">
      <c r="A104" s="564" t="s">
        <v>622</v>
      </c>
      <c r="B104" s="564"/>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c r="AG104" s="297"/>
      <c r="AH104" s="297"/>
      <c r="AI104" s="297"/>
      <c r="AJ104" s="297"/>
      <c r="AK104" s="297"/>
    </row>
    <row r="105" spans="1:37" customFormat="1" ht="15" customHeight="1">
      <c r="A105" s="564" t="s">
        <v>623</v>
      </c>
      <c r="B105" s="564"/>
      <c r="C105" s="564"/>
      <c r="D105" s="564"/>
      <c r="E105" s="564"/>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c r="AG105" s="297"/>
      <c r="AH105" s="297"/>
      <c r="AI105" s="297"/>
      <c r="AJ105" s="297"/>
      <c r="AK105" s="297"/>
    </row>
    <row r="106" spans="1:37" customFormat="1" ht="15" customHeight="1">
      <c r="A106" s="564" t="s">
        <v>624</v>
      </c>
      <c r="B106" s="564"/>
      <c r="C106" s="564"/>
      <c r="D106" s="564"/>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297"/>
      <c r="AH106" s="297"/>
      <c r="AI106" s="297"/>
      <c r="AJ106" s="297"/>
      <c r="AK106" s="297"/>
    </row>
    <row r="107" spans="1:37" customFormat="1" ht="15" customHeight="1">
      <c r="A107" s="564" t="s">
        <v>625</v>
      </c>
      <c r="B107" s="564"/>
      <c r="C107" s="564"/>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c r="AG107" s="297"/>
      <c r="AH107" s="297"/>
      <c r="AI107" s="297"/>
      <c r="AJ107" s="297"/>
      <c r="AK107" s="297"/>
    </row>
    <row r="108" spans="1:37" customFormat="1" ht="15" customHeight="1">
      <c r="A108" s="564" t="s">
        <v>626</v>
      </c>
      <c r="B108" s="564"/>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297"/>
      <c r="AH108" s="297"/>
      <c r="AI108" s="297"/>
      <c r="AJ108" s="297"/>
      <c r="AK108" s="297"/>
    </row>
    <row r="109" spans="1:37" customFormat="1" ht="15" customHeight="1">
      <c r="A109" s="564" t="s">
        <v>627</v>
      </c>
      <c r="B109" s="564"/>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c r="AG109" s="297"/>
      <c r="AH109" s="297"/>
      <c r="AI109" s="297"/>
      <c r="AJ109" s="297"/>
      <c r="AK109" s="297"/>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37" activePane="bottomRight" state="frozen"/>
      <selection activeCell="A10" sqref="A10"/>
      <selection pane="topRight" activeCell="C10" sqref="C10"/>
      <selection pane="bottomLeft" activeCell="A13" sqref="A13"/>
      <selection pane="bottomRight" activeCell="N185" sqref="N185"/>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4"/>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row>
    <row r="2" spans="1:38" hidden="1">
      <c r="A2" s="534"/>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row>
    <row r="3" spans="1:38" hidden="1">
      <c r="A3" s="534"/>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row>
    <row r="4" spans="1:38" hidden="1">
      <c r="A4" s="534"/>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row>
    <row r="5" spans="1:38" hidden="1">
      <c r="A5" s="534"/>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row>
    <row r="6" spans="1:38" hidden="1">
      <c r="A6" s="534"/>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row>
    <row r="7" spans="1:38" ht="23.25" hidden="1" customHeight="1">
      <c r="A7" s="534"/>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row>
    <row r="8" spans="1:38" s="159" customFormat="1" ht="15.75" hidden="1" customHeight="1">
      <c r="A8" s="534"/>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row>
    <row r="9" spans="1:38" ht="21" hidden="1" customHeight="1">
      <c r="A9" s="534"/>
      <c r="B9" s="534"/>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70746</v>
      </c>
      <c r="D13" s="330">
        <f>EIA_electricity_aeo2014!F58*1000</f>
        <v>80751</v>
      </c>
      <c r="E13" s="330">
        <f>EIA_electricity_aeo2014!G58*1000</f>
        <v>86625.554610146079</v>
      </c>
      <c r="F13" s="330">
        <f>EIA_electricity_aeo2014!H58*1000</f>
        <v>74468.297308305671</v>
      </c>
      <c r="G13" s="330">
        <f>EIA_electricity_aeo2014!I58*1000</f>
        <v>85669.826734839327</v>
      </c>
      <c r="H13" s="286">
        <f>EIA_electricity_aeo2014!J58*1000</f>
        <v>85759.423910434591</v>
      </c>
      <c r="I13" s="83">
        <f>EIA_electricity_aeo2014!K58*1000</f>
        <v>84217.606640667334</v>
      </c>
      <c r="J13" s="83">
        <f>EIA_electricity_aeo2014!L58*1000</f>
        <v>83652.232692376972</v>
      </c>
      <c r="K13" s="83">
        <f>EIA_electricity_aeo2014!M58*1000</f>
        <v>85173.132324070175</v>
      </c>
      <c r="L13" s="83">
        <f>EIA_electricity_aeo2014!N58*1000</f>
        <v>86117.924864303553</v>
      </c>
      <c r="M13" s="83">
        <f>EIA_electricity_aeo2014!O58*1000</f>
        <v>86817.180209456841</v>
      </c>
      <c r="N13" s="177">
        <f>EIA_electricity_aeo2014!P58*1000</f>
        <v>87163.788533591098</v>
      </c>
      <c r="O13" s="83">
        <f>EIA_electricity_aeo2014!Q58*1000</f>
        <v>87760.758390363102</v>
      </c>
      <c r="P13" s="83">
        <f>EIA_electricity_aeo2014!R58*1000</f>
        <v>88043.940903831768</v>
      </c>
      <c r="Q13" s="83">
        <f>EIA_electricity_aeo2014!S58*1000</f>
        <v>88137.011947216408</v>
      </c>
      <c r="R13" s="83">
        <f>EIA_electricity_aeo2014!T58*1000</f>
        <v>88484.647854531111</v>
      </c>
      <c r="S13" s="83">
        <f>EIA_electricity_aeo2014!U58*1000</f>
        <v>88657.000350939605</v>
      </c>
      <c r="T13" s="83">
        <f>EIA_electricity_aeo2014!V58*1000</f>
        <v>88676.236201463151</v>
      </c>
      <c r="U13" s="83">
        <f>EIA_electricity_aeo2014!W58*1000</f>
        <v>88747.887582435578</v>
      </c>
      <c r="V13" s="83">
        <f>EIA_electricity_aeo2014!X58*1000</f>
        <v>88748.593576980682</v>
      </c>
      <c r="W13" s="83">
        <f>EIA_electricity_aeo2014!Y58*1000</f>
        <v>88738.552552004097</v>
      </c>
      <c r="X13" s="184">
        <f>EIA_electricity_aeo2014!Z58*1000</f>
        <v>88385.269141001074</v>
      </c>
      <c r="Y13" s="174">
        <f>EIA_electricity_aeo2014!AA58*1000</f>
        <v>88209.751844240775</v>
      </c>
      <c r="Z13" s="174">
        <f>EIA_electricity_aeo2014!AB58*1000</f>
        <v>88150.003964011863</v>
      </c>
      <c r="AA13" s="174">
        <f>EIA_electricity_aeo2014!AC58*1000</f>
        <v>88137.374668403354</v>
      </c>
      <c r="AB13" s="174">
        <f>EIA_electricity_aeo2014!AD58*1000</f>
        <v>88194.255277722084</v>
      </c>
      <c r="AC13" s="174">
        <f>EIA_electricity_aeo2014!AE58*1000</f>
        <v>88220.39808008977</v>
      </c>
      <c r="AD13" s="174">
        <f>EIA_electricity_aeo2014!AF58*1000</f>
        <v>88234.769047779919</v>
      </c>
      <c r="AE13" s="174">
        <f>EIA_electricity_aeo2014!AG58*1000</f>
        <v>88205.238635252317</v>
      </c>
      <c r="AF13" s="174">
        <f>EIA_electricity_aeo2014!AH58*1000</f>
        <v>88167.078204150923</v>
      </c>
      <c r="AG13" s="174">
        <f>EIA_electricity_aeo2014!AI58*1000</f>
        <v>88159.74403376336</v>
      </c>
      <c r="AH13" s="184">
        <f>EIA_electricity_aeo2014!AJ58*1000</f>
        <v>88169.595336313854</v>
      </c>
      <c r="AI13" s="115">
        <f>X13/C13-1</f>
        <v>0.24933238827638426</v>
      </c>
      <c r="AJ13" s="165">
        <f>(1+AJ11)^21-1</f>
        <v>0.24007814276920247</v>
      </c>
      <c r="AK13" s="168">
        <f>(1+AK11)^21-1</f>
        <v>0.11389489977934208</v>
      </c>
      <c r="AL13" s="121"/>
    </row>
    <row r="14" spans="1:38" s="20" customFormat="1">
      <c r="A14" s="20" t="s">
        <v>131</v>
      </c>
      <c r="B14" s="33"/>
      <c r="C14" s="330">
        <f>EIA_electricity_aeo2014!E58 * 1000</f>
        <v>70746</v>
      </c>
      <c r="D14" s="330">
        <f>IF(Inputs!$C$7="BAU",'Output -Jobs vs Yr'!D13,C14+($X$14-$C$14)/($X$11-$C$11) )</f>
        <v>80751</v>
      </c>
      <c r="E14" s="330">
        <f>IF(Inputs!$C$7="BAU",'Output -Jobs vs Yr'!E13,D14+($X$14-$C$14)/($X$11-$C$11) )</f>
        <v>86625.554610146079</v>
      </c>
      <c r="F14" s="330">
        <f>IF(Inputs!$C$7="BAU",'Output -Jobs vs Yr'!F13,E14+($X$14-$C$14)/($X$11-$C$11) )</f>
        <v>74468.297308305671</v>
      </c>
      <c r="G14" s="330">
        <f>IF(Inputs!$C$7="BAU",'Output -Jobs vs Yr'!G13,F14+($X$14-$C$14)/($X$11-$C$11) )</f>
        <v>85669.826734839327</v>
      </c>
      <c r="H14" s="286">
        <f>EIA_electricity_aeo2014!J58*1000</f>
        <v>85759.423910434591</v>
      </c>
      <c r="I14" s="83">
        <f>IF(Inputs!$C$7="BAU",'Output -Jobs vs Yr'!I13,H14+($X$14-$C$14)/($X$11-$C$11) )</f>
        <v>84217.606640667334</v>
      </c>
      <c r="J14" s="83">
        <f>IF(Inputs!$C$7="BAU",'Output -Jobs vs Yr'!J13,I14+($X$14-$C$14)/($X$11-$C$11) )</f>
        <v>83652.232692376972</v>
      </c>
      <c r="K14" s="83">
        <f>IF(Inputs!$C$7="BAU",'Output -Jobs vs Yr'!K13,J14+($X$14-$C$14)/($X$11-$C$11) )</f>
        <v>85173.132324070175</v>
      </c>
      <c r="L14" s="83">
        <f>IF(Inputs!$C$7="BAU",'Output -Jobs vs Yr'!L13,K14+($X$14-$C$14)/($X$11-$C$11) )</f>
        <v>86117.924864303553</v>
      </c>
      <c r="M14" s="83">
        <f>IF(Inputs!$C$7="BAU",'Output -Jobs vs Yr'!M13,L14+($X$14-$C$14)/($X$11-$C$11) )</f>
        <v>86817.180209456841</v>
      </c>
      <c r="N14" s="177">
        <f>IF(Inputs!$C$7="BAU",'Output -Jobs vs Yr'!N13,M14+($X$14-$C$14)/($X$11-$C$11) )</f>
        <v>87163.788533591098</v>
      </c>
      <c r="O14" s="83">
        <f>IF(Inputs!$C$7="BAU",'Output -Jobs vs Yr'!O13,N14+($X$14-$C$14)/($X$11-$C$11) )</f>
        <v>87760.758390363102</v>
      </c>
      <c r="P14" s="83">
        <f>IF(Inputs!$C$7="BAU",'Output -Jobs vs Yr'!P13,O14+($X$14-$C$14)/($X$11-$C$11) )</f>
        <v>88043.940903831768</v>
      </c>
      <c r="Q14" s="83">
        <f>IF(Inputs!$C$7="BAU",'Output -Jobs vs Yr'!Q13,P14+($X$14-$C$14)/($X$11-$C$11) )</f>
        <v>88137.011947216408</v>
      </c>
      <c r="R14" s="83">
        <f>IF(Inputs!$C$7="BAU",'Output -Jobs vs Yr'!R13,Q14+($X$14-$C$14)/($X$11-$C$11) )</f>
        <v>88484.647854531111</v>
      </c>
      <c r="S14" s="83">
        <f>IF(Inputs!$C$7="BAU",'Output -Jobs vs Yr'!S13,R14+($X$14-$C$14)/($X$11-$C$11) )</f>
        <v>88657.000350939605</v>
      </c>
      <c r="T14" s="83">
        <f>IF(Inputs!$C$7="BAU",'Output -Jobs vs Yr'!T13,S14+($X$14-$C$14)/($X$11-$C$11) )</f>
        <v>88676.236201463151</v>
      </c>
      <c r="U14" s="83">
        <f>IF(Inputs!$C$7="BAU",'Output -Jobs vs Yr'!U13,T14+($X$14-$C$14)/($X$11-$C$11) )</f>
        <v>88747.887582435578</v>
      </c>
      <c r="V14" s="83">
        <f>IF(Inputs!$C$7="BAU",'Output -Jobs vs Yr'!V13,U14+($X$14-$C$14)/($X$11-$C$11) )</f>
        <v>88748.593576980682</v>
      </c>
      <c r="W14" s="83">
        <f>IF(Inputs!$C$7="BAU",'Output -Jobs vs Yr'!W13,V14+($X$14-$C$14)/($X$11-$C$11) )</f>
        <v>88738.552552004097</v>
      </c>
      <c r="X14" s="184">
        <f>IF(Inputs!$C$7="BAU",'Output -Jobs vs Yr'!X13,C14*(1+Inputs!C7) )</f>
        <v>88385.269141001074</v>
      </c>
      <c r="Y14" s="174">
        <f>IF(Inputs!$C$7="BAU",'Output -Jobs vs Yr'!Y13,D14*(1+Inputs!D7) )</f>
        <v>88209.751844240775</v>
      </c>
      <c r="Z14" s="174">
        <f>IF(Inputs!$C$7="BAU",'Output -Jobs vs Yr'!Z13,E14*(1+Inputs!E7) )</f>
        <v>88150.003964011863</v>
      </c>
      <c r="AA14" s="174">
        <f>IF(Inputs!$C$7="BAU",'Output -Jobs vs Yr'!AA13,F14*(1+Inputs!F7) )</f>
        <v>88137.374668403354</v>
      </c>
      <c r="AB14" s="174">
        <f>IF(Inputs!$C$7="BAU",'Output -Jobs vs Yr'!AB13,G14*(1+Inputs!G7) )</f>
        <v>88194.255277722084</v>
      </c>
      <c r="AC14" s="174">
        <f>IF(Inputs!$C$7="BAU",'Output -Jobs vs Yr'!AC13,H14*(1+Inputs!H7) )</f>
        <v>88220.39808008977</v>
      </c>
      <c r="AD14" s="174">
        <f>IF(Inputs!$C$7="BAU",'Output -Jobs vs Yr'!AD13,I14*(1+Inputs!L7) )</f>
        <v>88234.769047779919</v>
      </c>
      <c r="AE14" s="174">
        <f>IF(Inputs!$C$7="BAU",'Output -Jobs vs Yr'!AE13,J14*(1+Inputs!M7) )</f>
        <v>88205.238635252317</v>
      </c>
      <c r="AF14" s="174">
        <f>IF(Inputs!$C$7="BAU",'Output -Jobs vs Yr'!AF13,K14*(1+Inputs!N7) )</f>
        <v>88167.078204150923</v>
      </c>
      <c r="AG14" s="174">
        <f>IF(Inputs!$C$7="BAU",'Output -Jobs vs Yr'!AG13,L14*(1+Inputs!O7) )</f>
        <v>88159.74403376336</v>
      </c>
      <c r="AH14" s="184">
        <f>IF(Inputs!$C$7="BAU",'Output -Jobs vs Yr'!AH13,M14*(1+Inputs!P7) )</f>
        <v>88169.595336313854</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1.0502501908235096E-2</v>
      </c>
      <c r="D16" s="381">
        <f t="shared" si="1"/>
        <v>1.3250823158100413E-2</v>
      </c>
      <c r="E16" s="381">
        <f t="shared" si="1"/>
        <v>3.6228725408941349E-2</v>
      </c>
      <c r="F16" s="381">
        <f t="shared" si="1"/>
        <v>4.974353959584963E-2</v>
      </c>
      <c r="G16" s="381">
        <f t="shared" si="1"/>
        <v>4.9744612762024527E-2</v>
      </c>
      <c r="H16" s="381">
        <f t="shared" si="1"/>
        <v>4.97133328493886E-2</v>
      </c>
      <c r="I16" s="381">
        <f t="shared" si="1"/>
        <v>6.2704771874044177E-2</v>
      </c>
      <c r="J16" s="381">
        <f t="shared" si="1"/>
        <v>7.9086263581168686E-2</v>
      </c>
      <c r="K16" s="381">
        <f t="shared" si="1"/>
        <v>9.9742553953415344E-2</v>
      </c>
      <c r="L16" s="381">
        <f t="shared" si="1"/>
        <v>0.12579213551065763</v>
      </c>
      <c r="M16" s="381">
        <f t="shared" si="1"/>
        <v>0.15864491203552633</v>
      </c>
      <c r="N16" s="381">
        <f>Inputs!C11</f>
        <v>0.2</v>
      </c>
      <c r="O16" s="381">
        <f t="shared" ref="O16:W16" si="2">O95</f>
        <v>0.20460419342779521</v>
      </c>
      <c r="P16" s="381">
        <f t="shared" si="2"/>
        <v>0.20923013220333156</v>
      </c>
      <c r="Q16" s="381">
        <f t="shared" si="2"/>
        <v>0.21396037971032758</v>
      </c>
      <c r="R16" s="381">
        <f t="shared" si="2"/>
        <v>0.21879673013902107</v>
      </c>
      <c r="S16" s="381">
        <f t="shared" si="2"/>
        <v>0.22374215085184909</v>
      </c>
      <c r="T16" s="381">
        <f t="shared" si="2"/>
        <v>0.22879912668282837</v>
      </c>
      <c r="U16" s="381">
        <f t="shared" si="2"/>
        <v>0.23396986218928192</v>
      </c>
      <c r="V16" s="381">
        <f t="shared" si="2"/>
        <v>0.23925714171042828</v>
      </c>
      <c r="W16" s="381">
        <f t="shared" si="2"/>
        <v>0.24466349708256591</v>
      </c>
      <c r="X16" s="382">
        <f>Inputs!C12</f>
        <v>0.25</v>
      </c>
      <c r="Y16" s="383">
        <f>Y95</f>
        <v>0.25213550788150463</v>
      </c>
      <c r="Z16" s="383">
        <f t="shared" ref="Z16:AG16" si="3">Z95</f>
        <v>0.25409336127997828</v>
      </c>
      <c r="AA16" s="383">
        <f t="shared" si="3"/>
        <v>0.25606614614056589</v>
      </c>
      <c r="AB16" s="383">
        <f t="shared" si="3"/>
        <v>0.25805389988506178</v>
      </c>
      <c r="AC16" s="383">
        <f t="shared" si="3"/>
        <v>0.26005699656866416</v>
      </c>
      <c r="AD16" s="383">
        <f t="shared" si="3"/>
        <v>0.26207550983655847</v>
      </c>
      <c r="AE16" s="383">
        <f t="shared" si="3"/>
        <v>0.26410966215915305</v>
      </c>
      <c r="AF16" s="383">
        <f t="shared" si="3"/>
        <v>0.26615947706734161</v>
      </c>
      <c r="AG16" s="383">
        <f t="shared" si="3"/>
        <v>0.2682249466549998</v>
      </c>
      <c r="AH16" s="382">
        <f>Inputs!C13</f>
        <v>0.27</v>
      </c>
      <c r="AI16" s="384" t="s">
        <v>0</v>
      </c>
      <c r="AJ16" s="385"/>
      <c r="AK16" s="386"/>
      <c r="AL16" s="387"/>
    </row>
    <row r="17" spans="1:37" s="281" customFormat="1">
      <c r="A17" s="281" t="s">
        <v>115</v>
      </c>
      <c r="B17" s="282"/>
      <c r="C17" s="337"/>
      <c r="D17" s="332">
        <f>D16/C16-1</f>
        <v>0.2616825280184274</v>
      </c>
      <c r="E17" s="332">
        <f t="shared" ref="E17:M17" si="4">E16/D16-1</f>
        <v>1.7340735723874046</v>
      </c>
      <c r="F17" s="332">
        <f t="shared" si="4"/>
        <v>0.37304139282727267</v>
      </c>
      <c r="G17" s="332">
        <f t="shared" si="4"/>
        <v>2.1573980935274406E-5</v>
      </c>
      <c r="H17" s="284"/>
      <c r="I17" s="284">
        <f t="shared" si="4"/>
        <v>0.26132705815589574</v>
      </c>
      <c r="J17" s="284">
        <f t="shared" si="4"/>
        <v>0.26124792767016536</v>
      </c>
      <c r="K17" s="284">
        <f t="shared" si="4"/>
        <v>0.26118682862095843</v>
      </c>
      <c r="L17" s="284">
        <f t="shared" si="4"/>
        <v>0.26116818273380793</v>
      </c>
      <c r="M17" s="284">
        <f t="shared" si="4"/>
        <v>0.26116717385790222</v>
      </c>
      <c r="N17" s="284">
        <f>N16/M16-1</f>
        <v>0.26067705187552925</v>
      </c>
      <c r="O17" s="284">
        <f>O16/N16-1</f>
        <v>2.3020967138976056E-2</v>
      </c>
      <c r="P17" s="284">
        <f t="shared" ref="P17:X17" si="5">P16/O16-1</f>
        <v>2.2609208042301709E-2</v>
      </c>
      <c r="Q17" s="284">
        <f t="shared" si="5"/>
        <v>2.2607869417198057E-2</v>
      </c>
      <c r="R17" s="284">
        <f t="shared" si="5"/>
        <v>2.2603953289114687E-2</v>
      </c>
      <c r="S17" s="284">
        <f t="shared" si="5"/>
        <v>2.2602809053342554E-2</v>
      </c>
      <c r="T17" s="284">
        <f t="shared" si="5"/>
        <v>2.2601802171499541E-2</v>
      </c>
      <c r="U17" s="284">
        <f t="shared" si="5"/>
        <v>2.2599454733153168E-2</v>
      </c>
      <c r="V17" s="284">
        <f t="shared" si="5"/>
        <v>2.2598122132793996E-2</v>
      </c>
      <c r="W17" s="284">
        <f t="shared" si="5"/>
        <v>2.2596422131803795E-2</v>
      </c>
      <c r="X17" s="283">
        <f t="shared" si="5"/>
        <v>2.1811602388864815E-2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v>
      </c>
      <c r="D18" s="332">
        <f t="shared" ref="D18:G18" si="6">($N$18-$C$18)/($N$11-$C$11)+C18</f>
        <v>0</v>
      </c>
      <c r="E18" s="332">
        <f t="shared" si="6"/>
        <v>0</v>
      </c>
      <c r="F18" s="332">
        <f t="shared" si="6"/>
        <v>0</v>
      </c>
      <c r="G18" s="332">
        <f t="shared" si="6"/>
        <v>0</v>
      </c>
      <c r="H18" s="284">
        <f>H32/H14</f>
        <v>0</v>
      </c>
      <c r="I18" s="172">
        <f>($N$18-$H$18)/($N$11-$H$11)+H18</f>
        <v>0</v>
      </c>
      <c r="J18" s="172">
        <f t="shared" ref="J18:M18" si="7">($N$18-$H$18)/($N$11-$H$11)+I18</f>
        <v>0</v>
      </c>
      <c r="K18" s="172">
        <f t="shared" si="7"/>
        <v>0</v>
      </c>
      <c r="L18" s="172">
        <f t="shared" si="7"/>
        <v>0</v>
      </c>
      <c r="M18" s="172">
        <f t="shared" si="7"/>
        <v>0</v>
      </c>
      <c r="N18" s="180">
        <f>Inputs!C36</f>
        <v>0</v>
      </c>
      <c r="O18" s="91">
        <f t="shared" ref="O18:W18" si="8">($X$18-$N$18)/($X$11-$N$11)+N18</f>
        <v>0</v>
      </c>
      <c r="P18" s="91">
        <f t="shared" si="8"/>
        <v>0</v>
      </c>
      <c r="Q18" s="91">
        <f t="shared" si="8"/>
        <v>0</v>
      </c>
      <c r="R18" s="91">
        <f t="shared" si="8"/>
        <v>0</v>
      </c>
      <c r="S18" s="22">
        <f t="shared" si="8"/>
        <v>0</v>
      </c>
      <c r="T18" s="91">
        <f t="shared" si="8"/>
        <v>0</v>
      </c>
      <c r="U18" s="91">
        <f t="shared" si="8"/>
        <v>0</v>
      </c>
      <c r="V18" s="91">
        <f t="shared" si="8"/>
        <v>0</v>
      </c>
      <c r="W18" s="91">
        <f t="shared" si="8"/>
        <v>0</v>
      </c>
      <c r="X18" s="185">
        <f>Inputs!F36</f>
        <v>0</v>
      </c>
      <c r="Y18" s="172">
        <f>($AH$18-$X$18)/($AH$11-$X$11)+X18</f>
        <v>0</v>
      </c>
      <c r="Z18" s="172">
        <f t="shared" ref="Z18:AG18" si="9">($AH$18-$X$18)/($AH$11-$X$11)+Y18</f>
        <v>0</v>
      </c>
      <c r="AA18" s="172">
        <f t="shared" si="9"/>
        <v>0</v>
      </c>
      <c r="AB18" s="172">
        <f t="shared" si="9"/>
        <v>0</v>
      </c>
      <c r="AC18" s="172">
        <f t="shared" si="9"/>
        <v>0</v>
      </c>
      <c r="AD18" s="172">
        <f t="shared" si="9"/>
        <v>0</v>
      </c>
      <c r="AE18" s="172">
        <f t="shared" si="9"/>
        <v>0</v>
      </c>
      <c r="AF18" s="172">
        <f t="shared" si="9"/>
        <v>0</v>
      </c>
      <c r="AG18" s="172">
        <f t="shared" si="9"/>
        <v>0</v>
      </c>
      <c r="AH18" s="185">
        <f>Inputs!H36</f>
        <v>0</v>
      </c>
      <c r="AK18"/>
    </row>
    <row r="19" spans="1:37" s="281" customFormat="1">
      <c r="A19" s="281" t="s">
        <v>114</v>
      </c>
      <c r="B19" s="285"/>
      <c r="C19" s="330">
        <f t="shared" ref="C19:AH19" si="10">C16*C14</f>
        <v>743.0100000000001</v>
      </c>
      <c r="D19" s="330">
        <f t="shared" si="10"/>
        <v>1070.0172208397664</v>
      </c>
      <c r="E19" s="330">
        <f t="shared" si="10"/>
        <v>3138.3334313682358</v>
      </c>
      <c r="F19" s="330">
        <f t="shared" si="10"/>
        <v>3704.3166957912053</v>
      </c>
      <c r="G19" s="330">
        <f t="shared" si="10"/>
        <v>4261.6123563143183</v>
      </c>
      <c r="H19" s="286">
        <f t="shared" si="10"/>
        <v>4263.3867858312497</v>
      </c>
      <c r="I19" s="286">
        <f t="shared" si="10"/>
        <v>5280.8458121810336</v>
      </c>
      <c r="J19" s="286">
        <f t="shared" si="10"/>
        <v>6615.7425238625819</v>
      </c>
      <c r="K19" s="286">
        <f t="shared" si="10"/>
        <v>8495.3857462149535</v>
      </c>
      <c r="L19" s="286">
        <f t="shared" si="10"/>
        <v>10832.957674427105</v>
      </c>
      <c r="M19" s="286">
        <f t="shared" si="10"/>
        <v>13773.103917501718</v>
      </c>
      <c r="N19" s="287">
        <f t="shared" si="10"/>
        <v>17432.757706718221</v>
      </c>
      <c r="O19" s="286">
        <f t="shared" si="10"/>
        <v>17956.219185071852</v>
      </c>
      <c r="P19" s="286">
        <f t="shared" si="10"/>
        <v>18421.445395011033</v>
      </c>
      <c r="Q19" s="286">
        <f t="shared" si="10"/>
        <v>18857.8285427601</v>
      </c>
      <c r="R19" s="286">
        <f t="shared" si="10"/>
        <v>19360.151618074153</v>
      </c>
      <c r="S19" s="286">
        <f t="shared" si="10"/>
        <v>19836.307946592366</v>
      </c>
      <c r="T19" s="286">
        <f t="shared" si="10"/>
        <v>20289.04540041498</v>
      </c>
      <c r="U19" s="286">
        <f t="shared" si="10"/>
        <v>20764.331027252338</v>
      </c>
      <c r="V19" s="286">
        <f t="shared" si="10"/>
        <v>21233.73483004887</v>
      </c>
      <c r="W19" s="286">
        <f t="shared" si="10"/>
        <v>21711.084593418374</v>
      </c>
      <c r="X19" s="287">
        <f>Inputs!C12*'Output -Jobs vs Yr'!X14</f>
        <v>22096.317285250268</v>
      </c>
      <c r="Y19" s="286">
        <f t="shared" si="10"/>
        <v>22240.810581349138</v>
      </c>
      <c r="Z19" s="286">
        <f t="shared" si="10"/>
        <v>22398.330804059184</v>
      </c>
      <c r="AA19" s="286">
        <f t="shared" si="10"/>
        <v>22568.997862285181</v>
      </c>
      <c r="AB19" s="286">
        <f t="shared" si="10"/>
        <v>22758.871521874877</v>
      </c>
      <c r="AC19" s="286">
        <f t="shared" si="10"/>
        <v>22942.331760800091</v>
      </c>
      <c r="AD19" s="286">
        <f t="shared" si="10"/>
        <v>23124.17208350791</v>
      </c>
      <c r="AE19" s="286">
        <f t="shared" si="10"/>
        <v>23295.855776623965</v>
      </c>
      <c r="AF19" s="286">
        <f t="shared" si="10"/>
        <v>23466.50342937222</v>
      </c>
      <c r="AG19" s="286">
        <f t="shared" si="10"/>
        <v>23646.642640574613</v>
      </c>
      <c r="AH19" s="287">
        <f t="shared" si="10"/>
        <v>23805.790740804743</v>
      </c>
    </row>
    <row r="20" spans="1:37" s="20" customFormat="1">
      <c r="A20" s="20" t="s">
        <v>211</v>
      </c>
      <c r="B20" s="33"/>
      <c r="C20" s="330">
        <f>'Output - Jobs vs Yr (BAU)'!C18</f>
        <v>743.01</v>
      </c>
      <c r="D20" s="330">
        <f>'Output - Jobs vs Yr (BAU)'!D18</f>
        <v>939.01</v>
      </c>
      <c r="E20" s="330">
        <f>'Output - Jobs vs Yr (BAU)'!E18</f>
        <v>3135.0895636062496</v>
      </c>
      <c r="F20" s="330">
        <f>'Output - Jobs vs Yr (BAU)'!F18</f>
        <v>3699.53125599125</v>
      </c>
      <c r="G20" s="330">
        <f>'Output - Jobs vs Yr (BAU)'!G18</f>
        <v>4252.19046463625</v>
      </c>
      <c r="H20" s="286">
        <f>'Output - Jobs vs Yr (BAU)'!H18</f>
        <v>4262.3867858312497</v>
      </c>
      <c r="I20" s="83">
        <f>'Output - Jobs vs Yr (BAU)'!I18</f>
        <v>4291.9189802274996</v>
      </c>
      <c r="J20" s="83">
        <f>'Output - Jobs vs Yr (BAU)'!J18</f>
        <v>4319.0248454162493</v>
      </c>
      <c r="K20" s="83">
        <f>'Output - Jobs vs Yr (BAU)'!K18</f>
        <v>4319.0838084900006</v>
      </c>
      <c r="L20" s="83">
        <f>'Output - Jobs vs Yr (BAU)'!L18</f>
        <v>4319.0710380024993</v>
      </c>
      <c r="M20" s="83">
        <f>'Output - Jobs vs Yr (BAU)'!M18</f>
        <v>4318.6364984137499</v>
      </c>
      <c r="N20" s="177">
        <f>'Output - Jobs vs Yr (BAU)'!N18</f>
        <v>4320.2080660424999</v>
      </c>
      <c r="O20" s="83">
        <f>'Output - Jobs vs Yr (BAU)'!O18</f>
        <v>4320.7289061799993</v>
      </c>
      <c r="P20" s="83">
        <f>'Output - Jobs vs Yr (BAU)'!P18</f>
        <v>4321.3506556637503</v>
      </c>
      <c r="Q20" s="83">
        <f>'Output - Jobs vs Yr (BAU)'!Q18</f>
        <v>4322.3355968150008</v>
      </c>
      <c r="R20" s="83">
        <f>'Output - Jobs vs Yr (BAU)'!R18</f>
        <v>4325.0677971599998</v>
      </c>
      <c r="S20" s="83">
        <f>'Output - Jobs vs Yr (BAU)'!S18</f>
        <v>4329.2095889212496</v>
      </c>
      <c r="T20" s="83">
        <f>'Output - Jobs vs Yr (BAU)'!T18</f>
        <v>4335.3765731562498</v>
      </c>
      <c r="U20" s="83">
        <f>'Output - Jobs vs Yr (BAU)'!U18</f>
        <v>4342.144800276249</v>
      </c>
      <c r="V20" s="83">
        <f>'Output - Jobs vs Yr (BAU)'!V18</f>
        <v>4348.8721904175</v>
      </c>
      <c r="W20" s="83">
        <f>'Output - Jobs vs Yr (BAU)'!W18</f>
        <v>4355.8313767662503</v>
      </c>
      <c r="X20" s="184">
        <f>'Output - Jobs vs Yr (BAU)'!X18</f>
        <v>4364.0651904012502</v>
      </c>
      <c r="Y20" s="174">
        <f>'Output - Jobs vs Yr (BAU)'!Y18</f>
        <v>4370.6756371437496</v>
      </c>
      <c r="Z20" s="174">
        <f>'Output - Jobs vs Yr (BAU)'!Z18</f>
        <v>4377.0805717212497</v>
      </c>
      <c r="AA20" s="174">
        <f>'Output - Jobs vs Yr (BAU)'!AA18</f>
        <v>4389.1982880300002</v>
      </c>
      <c r="AB20" s="174">
        <f>'Output - Jobs vs Yr (BAU)'!AB18</f>
        <v>4409.0642551399997</v>
      </c>
      <c r="AC20" s="174">
        <f>'Output - Jobs vs Yr (BAU)'!AC18</f>
        <v>4422.6815692437503</v>
      </c>
      <c r="AD20" s="174">
        <f>'Output - Jobs vs Yr (BAU)'!AD18</f>
        <v>4431.2634506362501</v>
      </c>
      <c r="AE20" s="174">
        <f>'Output - Jobs vs Yr (BAU)'!AE18</f>
        <v>4456.6897629087498</v>
      </c>
      <c r="AF20" s="174">
        <f>'Output - Jobs vs Yr (BAU)'!AF18</f>
        <v>4475.8321031612504</v>
      </c>
      <c r="AG20" s="174">
        <f>'Output - Jobs vs Yr (BAU)'!AG18</f>
        <v>4514.6015071474994</v>
      </c>
      <c r="AH20" s="184">
        <f>'Output - Jobs vs Yr (BAU)'!AH18</f>
        <v>4568.7664204074999</v>
      </c>
    </row>
    <row r="21" spans="1:37" s="20" customFormat="1">
      <c r="A21" s="20" t="s">
        <v>116</v>
      </c>
      <c r="B21" s="33"/>
      <c r="C21" s="330">
        <f t="shared" ref="C21:AH21" si="11">MAX(C19:C20)</f>
        <v>743.0100000000001</v>
      </c>
      <c r="D21" s="330">
        <f t="shared" si="11"/>
        <v>1070.0172208397664</v>
      </c>
      <c r="E21" s="330">
        <f t="shared" si="11"/>
        <v>3138.3334313682358</v>
      </c>
      <c r="F21" s="330">
        <f t="shared" si="11"/>
        <v>3704.3166957912053</v>
      </c>
      <c r="G21" s="330">
        <f t="shared" si="11"/>
        <v>4261.6123563143183</v>
      </c>
      <c r="H21" s="286">
        <f t="shared" si="11"/>
        <v>4263.3867858312497</v>
      </c>
      <c r="I21" s="83">
        <f t="shared" si="11"/>
        <v>5280.8458121810336</v>
      </c>
      <c r="J21" s="83">
        <f t="shared" si="11"/>
        <v>6615.7425238625819</v>
      </c>
      <c r="K21" s="83">
        <f t="shared" si="11"/>
        <v>8495.3857462149535</v>
      </c>
      <c r="L21" s="83">
        <f t="shared" si="11"/>
        <v>10832.957674427105</v>
      </c>
      <c r="M21" s="83">
        <f t="shared" si="11"/>
        <v>13773.103917501718</v>
      </c>
      <c r="N21" s="177">
        <f t="shared" si="11"/>
        <v>17432.757706718221</v>
      </c>
      <c r="O21" s="83">
        <f t="shared" si="11"/>
        <v>17956.219185071852</v>
      </c>
      <c r="P21" s="83">
        <f t="shared" si="11"/>
        <v>18421.445395011033</v>
      </c>
      <c r="Q21" s="83">
        <f t="shared" si="11"/>
        <v>18857.8285427601</v>
      </c>
      <c r="R21" s="83">
        <f t="shared" si="11"/>
        <v>19360.151618074153</v>
      </c>
      <c r="S21" s="83">
        <f t="shared" si="11"/>
        <v>19836.307946592366</v>
      </c>
      <c r="T21" s="83">
        <f t="shared" si="11"/>
        <v>20289.04540041498</v>
      </c>
      <c r="U21" s="83">
        <f t="shared" si="11"/>
        <v>20764.331027252338</v>
      </c>
      <c r="V21" s="83">
        <f t="shared" si="11"/>
        <v>21233.73483004887</v>
      </c>
      <c r="W21" s="83">
        <f t="shared" si="11"/>
        <v>21711.084593418374</v>
      </c>
      <c r="X21" s="184">
        <f t="shared" si="11"/>
        <v>22096.317285250268</v>
      </c>
      <c r="Y21" s="174">
        <f t="shared" si="11"/>
        <v>22240.810581349138</v>
      </c>
      <c r="Z21" s="174">
        <f t="shared" si="11"/>
        <v>22398.330804059184</v>
      </c>
      <c r="AA21" s="174">
        <f t="shared" si="11"/>
        <v>22568.997862285181</v>
      </c>
      <c r="AB21" s="174">
        <f t="shared" si="11"/>
        <v>22758.871521874877</v>
      </c>
      <c r="AC21" s="174">
        <f t="shared" si="11"/>
        <v>22942.331760800091</v>
      </c>
      <c r="AD21" s="174">
        <f t="shared" si="11"/>
        <v>23124.17208350791</v>
      </c>
      <c r="AE21" s="174">
        <f t="shared" si="11"/>
        <v>23295.855776623965</v>
      </c>
      <c r="AF21" s="174">
        <f t="shared" si="11"/>
        <v>23466.50342937222</v>
      </c>
      <c r="AG21" s="174">
        <f t="shared" si="11"/>
        <v>23646.642640574613</v>
      </c>
      <c r="AH21" s="184">
        <f t="shared" si="11"/>
        <v>23805.790740804743</v>
      </c>
      <c r="AI21" s="99"/>
    </row>
    <row r="22" spans="1:37" s="20" customFormat="1">
      <c r="A22" s="20" t="s">
        <v>379</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538</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2">
        <f>C31/C14</f>
        <v>2.326619172815424E-2</v>
      </c>
      <c r="D26" s="332">
        <f t="shared" ref="D26:G26" si="21">C26+($N$26-$C$26)/($N$11-$C$11)</f>
        <v>2.3900531889268804E-2</v>
      </c>
      <c r="E26" s="332">
        <f t="shared" si="21"/>
        <v>2.4534872050383367E-2</v>
      </c>
      <c r="F26" s="332">
        <f t="shared" si="21"/>
        <v>2.516921221149793E-2</v>
      </c>
      <c r="G26" s="332">
        <f t="shared" si="21"/>
        <v>2.5803552372612493E-2</v>
      </c>
      <c r="H26" s="284">
        <f>H31/H14</f>
        <v>2.5834274083495777E-2</v>
      </c>
      <c r="I26" s="91">
        <f>H26+($N$26-$H$26)/($N$11-$H$11)</f>
        <v>2.6569217319648886E-2</v>
      </c>
      <c r="J26" s="172">
        <f t="shared" ref="J26:M26" si="22">I26+($N$26-$H$26)/($N$11-$H$11)</f>
        <v>2.7304160555801996E-2</v>
      </c>
      <c r="K26" s="172">
        <f t="shared" si="22"/>
        <v>2.8039103791955105E-2</v>
      </c>
      <c r="L26" s="172">
        <f t="shared" si="22"/>
        <v>2.8774047028108214E-2</v>
      </c>
      <c r="M26" s="172">
        <f t="shared" si="22"/>
        <v>2.9508990264261323E-2</v>
      </c>
      <c r="N26" s="180">
        <f>Inputs!C35</f>
        <v>3.0243933500414429E-2</v>
      </c>
      <c r="O26" s="91">
        <f t="shared" ref="O26:W26" si="23">N26+($X$26-$N$26)/($X$11-$N$11)</f>
        <v>3.0398824988800525E-2</v>
      </c>
      <c r="P26" s="91">
        <f t="shared" si="23"/>
        <v>3.0553716477186625E-2</v>
      </c>
      <c r="Q26" s="91">
        <f t="shared" si="23"/>
        <v>3.0708607965572725E-2</v>
      </c>
      <c r="R26" s="91">
        <f t="shared" si="23"/>
        <v>3.0863499453958824E-2</v>
      </c>
      <c r="S26" s="22">
        <f t="shared" si="23"/>
        <v>3.1018390942344924E-2</v>
      </c>
      <c r="T26" s="91">
        <f t="shared" si="23"/>
        <v>3.1173282430731024E-2</v>
      </c>
      <c r="U26" s="91">
        <f t="shared" si="23"/>
        <v>3.1328173919117124E-2</v>
      </c>
      <c r="V26" s="91">
        <f t="shared" si="23"/>
        <v>3.1483065407503223E-2</v>
      </c>
      <c r="W26" s="91">
        <f t="shared" si="23"/>
        <v>3.1637956895889323E-2</v>
      </c>
      <c r="X26" s="185">
        <f>Inputs!F35</f>
        <v>3.1792848384275409E-2</v>
      </c>
      <c r="Y26" s="172">
        <f>X26+($AH$26-$X$26)/($AH$11-$X$11)</f>
        <v>3.1979775434745811E-2</v>
      </c>
      <c r="Z26" s="172">
        <f t="shared" ref="Z26:AG26" si="24">Y26+($AH$26-$X$26)/($AH$11-$X$11)</f>
        <v>3.216670248521622E-2</v>
      </c>
      <c r="AA26" s="172">
        <f t="shared" si="24"/>
        <v>3.2353629535686629E-2</v>
      </c>
      <c r="AB26" s="172">
        <f t="shared" si="24"/>
        <v>3.2540556586157038E-2</v>
      </c>
      <c r="AC26" s="172">
        <f t="shared" si="24"/>
        <v>3.2727483636627447E-2</v>
      </c>
      <c r="AD26" s="172">
        <f t="shared" si="24"/>
        <v>3.2914410687097856E-2</v>
      </c>
      <c r="AE26" s="172">
        <f t="shared" si="24"/>
        <v>3.3101337737568265E-2</v>
      </c>
      <c r="AF26" s="172">
        <f t="shared" si="24"/>
        <v>3.3288264788038674E-2</v>
      </c>
      <c r="AG26" s="172">
        <f t="shared" si="24"/>
        <v>3.3475191838509083E-2</v>
      </c>
      <c r="AH26" s="185">
        <f>Inputs!H35</f>
        <v>3.3662118888979464E-2</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3.1018390942344924E-2</v>
      </c>
      <c r="T27" s="13"/>
      <c r="U27" s="13"/>
      <c r="V27" s="13"/>
      <c r="W27" s="13"/>
      <c r="X27" s="176"/>
      <c r="Y27"/>
      <c r="Z27"/>
      <c r="AA27"/>
      <c r="AB27"/>
      <c r="AC27"/>
      <c r="AD27"/>
      <c r="AE27"/>
      <c r="AF27"/>
      <c r="AG27"/>
      <c r="AH27" s="280"/>
      <c r="AI27" s="24"/>
    </row>
    <row r="28" spans="1:37" s="1" customFormat="1">
      <c r="A28" s="1" t="s">
        <v>378</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377</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1645.99</v>
      </c>
      <c r="D31" s="330">
        <f t="shared" ref="D31:AH31" si="27">D26*D14</f>
        <v>1929.9918505903452</v>
      </c>
      <c r="E31" s="330">
        <f t="shared" si="27"/>
        <v>2125.3468986534313</v>
      </c>
      <c r="F31" s="330">
        <f t="shared" si="27"/>
        <v>1874.3083779816654</v>
      </c>
      <c r="G31" s="330">
        <f t="shared" si="27"/>
        <v>2210.5858609050647</v>
      </c>
      <c r="H31" s="286">
        <f>'Output - Jobs vs Yr (BAU)'!H7</f>
        <v>2215.5324625448684</v>
      </c>
      <c r="I31" s="174">
        <f t="shared" si="27"/>
        <v>2237.5958929765957</v>
      </c>
      <c r="J31" s="174">
        <f t="shared" si="27"/>
        <v>2284.0539922839694</v>
      </c>
      <c r="K31" s="174">
        <f t="shared" si="27"/>
        <v>2388.1782975205301</v>
      </c>
      <c r="L31" s="174">
        <f t="shared" si="27"/>
        <v>2477.9612200085603</v>
      </c>
      <c r="M31" s="174">
        <f t="shared" si="27"/>
        <v>2561.887325571483</v>
      </c>
      <c r="N31" s="184">
        <f t="shared" si="27"/>
        <v>2636.1758240541149</v>
      </c>
      <c r="O31" s="174">
        <f t="shared" si="27"/>
        <v>2667.8239351930551</v>
      </c>
      <c r="P31" s="174">
        <f t="shared" si="27"/>
        <v>2690.0696079098502</v>
      </c>
      <c r="Q31" s="174">
        <f t="shared" si="27"/>
        <v>2706.5649471440684</v>
      </c>
      <c r="R31" s="174">
        <f t="shared" si="27"/>
        <v>2730.9458807420597</v>
      </c>
      <c r="S31" s="174">
        <f t="shared" si="27"/>
        <v>2749.9974966610557</v>
      </c>
      <c r="T31" s="174">
        <f t="shared" si="27"/>
        <v>2764.3293560024258</v>
      </c>
      <c r="U31" s="174">
        <f t="shared" si="27"/>
        <v>2780.3092571367965</v>
      </c>
      <c r="V31" s="174">
        <f t="shared" si="27"/>
        <v>2794.077776408003</v>
      </c>
      <c r="W31" s="174">
        <f t="shared" si="27"/>
        <v>2807.5065006439149</v>
      </c>
      <c r="X31" s="184">
        <f t="shared" si="27"/>
        <v>2810.0194612032233</v>
      </c>
      <c r="Y31" s="174">
        <f t="shared" si="27"/>
        <v>2820.928055133475</v>
      </c>
      <c r="Z31" s="174">
        <f t="shared" si="27"/>
        <v>2835.4949515809999</v>
      </c>
      <c r="AA31" s="174">
        <f t="shared" si="27"/>
        <v>2851.5639682695332</v>
      </c>
      <c r="AB31" s="174">
        <f t="shared" si="27"/>
        <v>2869.8901544386945</v>
      </c>
      <c r="AC31" s="174">
        <f t="shared" si="27"/>
        <v>2887.2316345828972</v>
      </c>
      <c r="AD31" s="174">
        <f t="shared" si="27"/>
        <v>2904.1954253198583</v>
      </c>
      <c r="AE31" s="174">
        <f t="shared" si="27"/>
        <v>2919.711394288292</v>
      </c>
      <c r="AF31" s="174">
        <f t="shared" si="27"/>
        <v>2934.9290448474894</v>
      </c>
      <c r="AG31" s="174">
        <f t="shared" si="27"/>
        <v>2951.1643439640852</v>
      </c>
      <c r="AH31" s="184">
        <f t="shared" si="27"/>
        <v>2967.9754006042062</v>
      </c>
      <c r="AI31" s="127"/>
    </row>
    <row r="32" spans="1:37">
      <c r="A32" s="9" t="s">
        <v>59</v>
      </c>
      <c r="B32" s="35">
        <v>0</v>
      </c>
      <c r="C32" s="330">
        <f>EIA_electricity_aeo2014!E52*1000</f>
        <v>0</v>
      </c>
      <c r="D32" s="330">
        <f t="shared" ref="D32:AH32" si="28">D18*D14</f>
        <v>0</v>
      </c>
      <c r="E32" s="330">
        <f t="shared" si="28"/>
        <v>0</v>
      </c>
      <c r="F32" s="330">
        <f t="shared" si="28"/>
        <v>0</v>
      </c>
      <c r="G32" s="330">
        <f t="shared" si="28"/>
        <v>0</v>
      </c>
      <c r="H32" s="286">
        <f>EIA_electricity_aeo2014!J52*1000</f>
        <v>0</v>
      </c>
      <c r="I32" s="174">
        <f t="shared" si="28"/>
        <v>0</v>
      </c>
      <c r="J32" s="174">
        <f t="shared" si="28"/>
        <v>0</v>
      </c>
      <c r="K32" s="174">
        <f t="shared" si="28"/>
        <v>0</v>
      </c>
      <c r="L32" s="174">
        <f t="shared" si="28"/>
        <v>0</v>
      </c>
      <c r="M32" s="174">
        <f t="shared" si="28"/>
        <v>0</v>
      </c>
      <c r="N32" s="184">
        <f t="shared" si="28"/>
        <v>0</v>
      </c>
      <c r="O32" s="174">
        <f t="shared" si="28"/>
        <v>0</v>
      </c>
      <c r="P32" s="174">
        <f t="shared" si="28"/>
        <v>0</v>
      </c>
      <c r="Q32" s="174">
        <f t="shared" si="28"/>
        <v>0</v>
      </c>
      <c r="R32" s="174">
        <f t="shared" si="28"/>
        <v>0</v>
      </c>
      <c r="S32" s="174">
        <f t="shared" si="28"/>
        <v>0</v>
      </c>
      <c r="T32" s="174">
        <f t="shared" si="28"/>
        <v>0</v>
      </c>
      <c r="U32" s="174">
        <f t="shared" si="28"/>
        <v>0</v>
      </c>
      <c r="V32" s="174">
        <f t="shared" si="28"/>
        <v>0</v>
      </c>
      <c r="W32" s="174">
        <f t="shared" si="28"/>
        <v>0</v>
      </c>
      <c r="X32" s="184">
        <f t="shared" si="28"/>
        <v>0</v>
      </c>
      <c r="Y32" s="174">
        <f t="shared" si="28"/>
        <v>0</v>
      </c>
      <c r="Z32" s="174">
        <f t="shared" si="28"/>
        <v>0</v>
      </c>
      <c r="AA32" s="174">
        <f t="shared" si="28"/>
        <v>0</v>
      </c>
      <c r="AB32" s="174">
        <f t="shared" si="28"/>
        <v>0</v>
      </c>
      <c r="AC32" s="174">
        <f t="shared" si="28"/>
        <v>0</v>
      </c>
      <c r="AD32" s="174">
        <f t="shared" si="28"/>
        <v>0</v>
      </c>
      <c r="AE32" s="174">
        <f t="shared" si="28"/>
        <v>0</v>
      </c>
      <c r="AF32" s="174">
        <f t="shared" si="28"/>
        <v>0</v>
      </c>
      <c r="AG32" s="174">
        <f t="shared" si="28"/>
        <v>0</v>
      </c>
      <c r="AH32" s="184">
        <f t="shared" si="28"/>
        <v>0</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1</v>
      </c>
      <c r="D34" s="330">
        <f>MAX(D58*D$14,'Output - Jobs vs Yr (BAU)'!D10)</f>
        <v>1.9168039640394527</v>
      </c>
      <c r="E34" s="330">
        <f>MAX(E58*E$14,'Output - Jobs vs Yr (BAU)'!E10)</f>
        <v>3.4530868145222473</v>
      </c>
      <c r="F34" s="330">
        <f>MAX(F58*F$14,'Output - Jobs vs Yr (BAU)'!F10)</f>
        <v>4.9849932241177388</v>
      </c>
      <c r="G34" s="330">
        <f>MAX(G58*G$14,'Output - Jobs vs Yr (BAU)'!G10)</f>
        <v>9.6305860553506921</v>
      </c>
      <c r="H34" s="286">
        <f>'Output - Jobs vs Yr (BAU)'!H10</f>
        <v>0.26013578125000003</v>
      </c>
      <c r="I34" s="286">
        <f>MAX(I58*I$14,'Output - Jobs vs Yr (BAU)'!I10)</f>
        <v>0.42899557479225864</v>
      </c>
      <c r="J34" s="286">
        <f>MAX(J58*J$14,'Output - Jobs vs Yr (BAU)'!J10)</f>
        <v>0.71558154815458508</v>
      </c>
      <c r="K34" s="286">
        <f>MAX(K58*K$14,'Output - Jobs vs Yr (BAU)'!K10)</f>
        <v>1.2235335855325695</v>
      </c>
      <c r="L34" s="286">
        <f>MAX(L58*L$14,'Output - Jobs vs Yr (BAU)'!L10)</f>
        <v>2.077487941358803</v>
      </c>
      <c r="M34" s="286">
        <f>MAX(M58*M$14,'Output - Jobs vs Yr (BAU)'!M10)</f>
        <v>3.5170805160949614</v>
      </c>
      <c r="N34" s="287">
        <f>MAX(Inputs!$E17*N$21,'Output - Jobs vs Yr (BAU)'!N10)</f>
        <v>5.9298596225536508</v>
      </c>
      <c r="O34" s="286">
        <f>MAX(O58*O$14,'Output - Jobs vs Yr (BAU)'!O10)</f>
        <v>6.1051970108713371</v>
      </c>
      <c r="P34" s="286">
        <f>MAX(P58*P$14,'Output - Jobs vs Yr (BAU)'!P10)</f>
        <v>6.2631064079019954</v>
      </c>
      <c r="Q34" s="286">
        <f>MAX(Q58*Q$14,'Output - Jobs vs Yr (BAU)'!Q10)</f>
        <v>6.4112046601471091</v>
      </c>
      <c r="R34" s="286">
        <f>MAX(R58*R$14,'Output - Jobs vs Yr (BAU)'!R10)</f>
        <v>6.5817327838193371</v>
      </c>
      <c r="S34" s="286">
        <f>MAX(S58*S$14,'Output - Jobs vs Yr (BAU)'!S10)</f>
        <v>6.7433601278278603</v>
      </c>
      <c r="T34" s="286">
        <f>MAX(T58*T$14,'Output - Jobs vs Yr (BAU)'!T10)</f>
        <v>6.8970213977476265</v>
      </c>
      <c r="U34" s="286">
        <f>MAX(U58*U$14,'Output - Jobs vs Yr (BAU)'!U10)</f>
        <v>7.0583525672307275</v>
      </c>
      <c r="V34" s="286">
        <f>MAX(V58*V$14,'Output - Jobs vs Yr (BAU)'!V10)</f>
        <v>7.2176829981345723</v>
      </c>
      <c r="W34" s="286">
        <f>MAX(W58*W$14,'Output - Jobs vs Yr (BAU)'!W10)</f>
        <v>7.3797162963389775</v>
      </c>
      <c r="X34" s="287">
        <f>Inputs!F17*'Output -Jobs vs Yr'!$X$14</f>
        <v>7.5161980612192192</v>
      </c>
      <c r="Y34" s="286">
        <f>MAX(Y58*Y$14,'Output - Jobs vs Yr (BAU)'!Y10)</f>
        <v>7.5592255329296369</v>
      </c>
      <c r="Z34" s="286">
        <f>MAX(Z58*Z$14,'Output - Jobs vs Yr (BAU)'!Z10)</f>
        <v>7.6124668481808522</v>
      </c>
      <c r="AA34" s="286">
        <f>MAX(AA58*AA$14,'Output - Jobs vs Yr (BAU)'!AA10)</f>
        <v>7.670180140293211</v>
      </c>
      <c r="AB34" s="286">
        <f>MAX(AB58*AB$14,'Output - Jobs vs Yr (BAU)'!AB10)</f>
        <v>7.7344266758446825</v>
      </c>
      <c r="AC34" s="286">
        <f>MAX(AC58*AC$14,'Output - Jobs vs Yr (BAU)'!AC10)</f>
        <v>7.7964916469597885</v>
      </c>
      <c r="AD34" s="286">
        <f>MAX(AD58*AD$14,'Output - Jobs vs Yr (BAU)'!AD10)</f>
        <v>7.8580055936224795</v>
      </c>
      <c r="AE34" s="286">
        <f>MAX(AE58*AE$14,'Output - Jobs vs Yr (BAU)'!AE10)</f>
        <v>7.9160647003378317</v>
      </c>
      <c r="AF34" s="286">
        <f>MAX(AF58*AF$14,'Output - Jobs vs Yr (BAU)'!AF10)</f>
        <v>7.9737713915577295</v>
      </c>
      <c r="AG34" s="286">
        <f>MAX(AG58*AG$14,'Output - Jobs vs Yr (BAU)'!AG10)</f>
        <v>8.0347066946919998</v>
      </c>
      <c r="AH34" s="287">
        <f>Inputs!I17*'Output -Jobs vs Yr'!$AH$14</f>
        <v>8.0976859583413816</v>
      </c>
      <c r="AI34" s="127"/>
    </row>
    <row r="35" spans="1:36" s="20" customFormat="1">
      <c r="A35" s="9" t="s">
        <v>50</v>
      </c>
      <c r="B35" s="35">
        <v>1</v>
      </c>
      <c r="C35" s="330">
        <f>EIA_RE_aeo2014!E74*1000</f>
        <v>0</v>
      </c>
      <c r="D35" s="330">
        <f>MAX(D59*D$14,'Output - Jobs vs Yr (BAU)'!D11)</f>
        <v>0</v>
      </c>
      <c r="E35" s="330">
        <f>MAX(E59*E$14,'Output - Jobs vs Yr (BAU)'!E11)</f>
        <v>1.0000000000000001E-7</v>
      </c>
      <c r="F35" s="330">
        <f>MAX(F59*F$14,'Output - Jobs vs Yr (BAU)'!F11)</f>
        <v>1.0000000000000001E-7</v>
      </c>
      <c r="G35" s="330">
        <f>MAX(G59*G$14,'Output - Jobs vs Yr (BAU)'!G11)</f>
        <v>1.0000000000000001E-7</v>
      </c>
      <c r="H35" s="286">
        <f>'Output - Jobs vs Yr (BAU)'!H11</f>
        <v>1.0000000000000001E-7</v>
      </c>
      <c r="I35" s="286">
        <f>MAX(I59*I$14,'Output - Jobs vs Yr (BAU)'!I11)</f>
        <v>1.2357261525053429E-7</v>
      </c>
      <c r="J35" s="286">
        <f>MAX(J59*J$14,'Output - Jobs vs Yr (BAU)'!J11)</f>
        <v>1.5445361505311216E-7</v>
      </c>
      <c r="K35" s="286">
        <f>MAX(K59*K$14,'Output - Jobs vs Yr (BAU)'!K11)</f>
        <v>1.9789023204969529E-7</v>
      </c>
      <c r="L35" s="286">
        <f>MAX(L59*L$14,'Output - Jobs vs Yr (BAU)'!L11)</f>
        <v>2.5177725411988395E-7</v>
      </c>
      <c r="M35" s="286">
        <f>MAX(M59*M$14,'Output - Jobs vs Yr (BAU)'!M11)</f>
        <v>3.1939624819757082E-7</v>
      </c>
      <c r="N35" s="287">
        <f>MAX(Inputs!$E19*N$21,'Output - Jobs vs Yr (BAU)'!N11)</f>
        <v>4.0351662327891978E-7</v>
      </c>
      <c r="O35" s="286">
        <f>MAX(O59*O$14,'Output - Jobs vs Yr (BAU)'!O11)</f>
        <v>4.1544802728710263E-7</v>
      </c>
      <c r="P35" s="286">
        <f>MAX(P59*P$14,'Output - Jobs vs Yr (BAU)'!P11)</f>
        <v>4.2619348683077756E-7</v>
      </c>
      <c r="Q35" s="286">
        <f>MAX(Q59*Q$14,'Output - Jobs vs Yr (BAU)'!Q11)</f>
        <v>4.3627131505324786E-7</v>
      </c>
      <c r="R35" s="286">
        <f>MAX(R59*R$14,'Output - Jobs vs Yr (BAU)'!R11)</f>
        <v>4.478754569753587E-7</v>
      </c>
      <c r="S35" s="286">
        <f>MAX(S59*S$14,'Output - Jobs vs Yr (BAU)'!S11)</f>
        <v>4.5887391633783745E-7</v>
      </c>
      <c r="T35" s="286">
        <f>MAX(T59*T$14,'Output - Jobs vs Yr (BAU)'!T11)</f>
        <v>4.6933029822771306E-7</v>
      </c>
      <c r="U35" s="286">
        <f>MAX(U59*U$14,'Output - Jobs vs Yr (BAU)'!U11)</f>
        <v>4.8030860342938414E-7</v>
      </c>
      <c r="V35" s="286">
        <f>MAX(V59*V$14,'Output - Jobs vs Yr (BAU)'!V11)</f>
        <v>4.9115076185407344E-7</v>
      </c>
      <c r="W35" s="286">
        <f>MAX(W59*W$14,'Output - Jobs vs Yr (BAU)'!W11)</f>
        <v>5.021768456928054E-7</v>
      </c>
      <c r="X35" s="287">
        <f>Inputs!F19*'Output -Jobs vs Yr'!$X$14</f>
        <v>5.1146419217469463E-7</v>
      </c>
      <c r="Y35" s="286">
        <f>MAX(Y59*Y$14,'Output - Jobs vs Yr (BAU)'!Y11)</f>
        <v>5.1439213671267018E-7</v>
      </c>
      <c r="Z35" s="286">
        <f>MAX(Z59*Z$14,'Output - Jobs vs Yr (BAU)'!Z11)</f>
        <v>5.1801511552103658E-7</v>
      </c>
      <c r="AA35" s="286">
        <f>MAX(AA59*AA$14,'Output - Jobs vs Yr (BAU)'!AA11)</f>
        <v>5.2194240456897872E-7</v>
      </c>
      <c r="AB35" s="286">
        <f>MAX(AB59*AB$14,'Output - Jobs vs Yr (BAU)'!AB11)</f>
        <v>5.2631426945841024E-7</v>
      </c>
      <c r="AC35" s="286">
        <f>MAX(AC59*AC$14,'Output - Jobs vs Yr (BAU)'!AC11)</f>
        <v>5.3053768268610595E-7</v>
      </c>
      <c r="AD35" s="286">
        <f>MAX(AD59*AD$14,'Output - Jobs vs Yr (BAU)'!AD11)</f>
        <v>5.3472359965916241E-7</v>
      </c>
      <c r="AE35" s="286">
        <f>MAX(AE59*AE$14,'Output - Jobs vs Yr (BAU)'!AE11)</f>
        <v>5.3867442078876628E-7</v>
      </c>
      <c r="AF35" s="286">
        <f>MAX(AF59*AF$14,'Output - Jobs vs Yr (BAU)'!AF11)</f>
        <v>5.426012606574689E-7</v>
      </c>
      <c r="AG35" s="286">
        <f>MAX(AG59*AG$14,'Output - Jobs vs Yr (BAU)'!AG11)</f>
        <v>5.4674780194584936E-7</v>
      </c>
      <c r="AH35" s="287">
        <f>Inputs!I19*'Output -Jobs vs Yr'!$AH$14</f>
        <v>5.5103343118869494E-7</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0</v>
      </c>
      <c r="D37" s="330">
        <f>MAX(D61*D$14,'Output - Jobs vs Yr (BAU)'!D12)</f>
        <v>0</v>
      </c>
      <c r="E37" s="330">
        <f>MAX(E61*E$14,'Output - Jobs vs Yr (BAU)'!E12)</f>
        <v>4.4205850000000005E-2</v>
      </c>
      <c r="F37" s="330">
        <f>MAX(F61*F$14,'Output - Jobs vs Yr (BAU)'!F12)</f>
        <v>4.8728860000000006E-2</v>
      </c>
      <c r="G37" s="330">
        <f>MAX(G61*G$14,'Output - Jobs vs Yr (BAU)'!G12)</f>
        <v>5.9408130000000003E-2</v>
      </c>
      <c r="H37" s="286">
        <f>'Output - Jobs vs Yr (BAU)'!H12</f>
        <v>5.964995E-2</v>
      </c>
      <c r="I37" s="118">
        <f>MAX(I61*I$14,'Output - Jobs vs Yr (BAU)'!I12)</f>
        <v>7.3632672799609306E-2</v>
      </c>
      <c r="J37" s="118">
        <f>MAX(J61*J$14,'Output - Jobs vs Yr (BAU)'!J12)</f>
        <v>9.1935797574169045E-2</v>
      </c>
      <c r="K37" s="118">
        <f>MAX(K61*K$14,'Output - Jobs vs Yr (BAU)'!K12)</f>
        <v>0.11766550728154454</v>
      </c>
      <c r="L37" s="118">
        <f>MAX(L61*L$14,'Output - Jobs vs Yr (BAU)'!L12)</f>
        <v>0.14954763515891389</v>
      </c>
      <c r="M37" s="118">
        <f>MAX(M61*M$14,'Output - Jobs vs Yr (BAU)'!M12)</f>
        <v>0.18950955446510703</v>
      </c>
      <c r="N37" s="184">
        <f>MAX(Inputs!$E20*N$21,'Output - Jobs vs Yr (BAU)'!N12)</f>
        <v>0.23916684477214242</v>
      </c>
      <c r="O37" s="174">
        <f>MAX(O61*O$14,'Output - Jobs vs Yr (BAU)'!O12)</f>
        <v>0.24623866309563749</v>
      </c>
      <c r="P37" s="174">
        <f>MAX(P61*P$14,'Output - Jobs vs Yr (BAU)'!P12)</f>
        <v>0.25260756466356876</v>
      </c>
      <c r="Q37" s="174">
        <f>MAX(Q61*Q$14,'Output - Jobs vs Yr (BAU)'!Q12)</f>
        <v>0.25858075694134469</v>
      </c>
      <c r="R37" s="174">
        <f>MAX(R61*R$14,'Output - Jobs vs Yr (BAU)'!R12)</f>
        <v>0.26545860496467388</v>
      </c>
      <c r="S37" s="174">
        <f>MAX(S61*S$14,'Output - Jobs vs Yr (BAU)'!S12)</f>
        <v>0.27197746111910903</v>
      </c>
      <c r="T37" s="174">
        <f>MAX(T61*T$14,'Output - Jobs vs Yr (BAU)'!T12)</f>
        <v>0.27817502454044418</v>
      </c>
      <c r="U37" s="174">
        <f>MAX(U61*U$14,'Output - Jobs vs Yr (BAU)'!U12)</f>
        <v>0.28468193519679741</v>
      </c>
      <c r="V37" s="174">
        <f>MAX(V61*V$14,'Output - Jobs vs Yr (BAU)'!V12)</f>
        <v>0.29110815080070879</v>
      </c>
      <c r="W37" s="174">
        <f>MAX(W61*W$14,'Output - Jobs vs Yr (BAU)'!W12)</f>
        <v>0.29764338015625341</v>
      </c>
      <c r="X37" s="184">
        <f>Inputs!F20*'Output -Jobs vs Yr'!$X$14</f>
        <v>0.30314804892635222</v>
      </c>
      <c r="Y37" s="174">
        <f>MAX(Y61*Y$14,'Output - Jobs vs Yr (BAU)'!Y12)</f>
        <v>0.30488346010006084</v>
      </c>
      <c r="Z37" s="174">
        <f>MAX(Z61*Z$14,'Output - Jobs vs Yr (BAU)'!Z12)</f>
        <v>0.30703082246454605</v>
      </c>
      <c r="AA37" s="174">
        <f>MAX(AA61*AA$14,'Output - Jobs vs Yr (BAU)'!AA12)</f>
        <v>0.30935855142518232</v>
      </c>
      <c r="AB37" s="174">
        <f>MAX(AB61*AB$14,'Output - Jobs vs Yr (BAU)'!AB12)</f>
        <v>0.31194978328789708</v>
      </c>
      <c r="AC37" s="174">
        <f>MAX(AC61*AC$14,'Output - Jobs vs Yr (BAU)'!AC12)</f>
        <v>0.31445302691545562</v>
      </c>
      <c r="AD37" s="174">
        <f>MAX(AD61*AD$14,'Output - Jobs vs Yr (BAU)'!AD12)</f>
        <v>0.31693404627666305</v>
      </c>
      <c r="AE37" s="174">
        <f>MAX(AE61*AE$14,'Output - Jobs vs Yr (BAU)'!AE12)</f>
        <v>0.31927572285035233</v>
      </c>
      <c r="AF37" s="174">
        <f>MAX(AF61*AF$14,'Output - Jobs vs Yr (BAU)'!AF12)</f>
        <v>0.32160318557962347</v>
      </c>
      <c r="AG37" s="174">
        <f>MAX(AG61*AG$14,'Output - Jobs vs Yr (BAU)'!AG12)</f>
        <v>0.32406086672445661</v>
      </c>
      <c r="AH37" s="184">
        <f>Inputs!I20*'Output -Jobs vs Yr'!$AH$14</f>
        <v>0.32660098617615596</v>
      </c>
      <c r="AI37" s="127"/>
    </row>
    <row r="38" spans="1:36" s="20" customFormat="1">
      <c r="A38" s="9" t="s">
        <v>347</v>
      </c>
      <c r="B38" s="35">
        <v>1</v>
      </c>
      <c r="C38" s="330">
        <f>'Output - Jobs vs Yr (BAU)'!C13</f>
        <v>0</v>
      </c>
      <c r="D38" s="330">
        <f>MAX(D62*D$14,'Output - Jobs vs Yr (BAU)'!D13)</f>
        <v>0</v>
      </c>
      <c r="E38" s="330">
        <f>MAX(E62*E$14,'Output - Jobs vs Yr (BAU)'!E13)</f>
        <v>0.02</v>
      </c>
      <c r="F38" s="330">
        <f>MAX(F62*F$14,'Output - Jobs vs Yr (BAU)'!F13)</f>
        <v>0.02</v>
      </c>
      <c r="G38" s="330">
        <f>MAX(G62*G$14,'Output - Jobs vs Yr (BAU)'!G13)</f>
        <v>0.02</v>
      </c>
      <c r="H38" s="286">
        <f>'Output - Jobs vs Yr (BAU)'!H13</f>
        <v>0.02</v>
      </c>
      <c r="I38" s="118">
        <f>MAX(I62*I$14,'Output - Jobs vs Yr (BAU)'!I13)</f>
        <v>2.4714523050106851E-2</v>
      </c>
      <c r="J38" s="118">
        <f>MAX(J62*J$14,'Output - Jobs vs Yr (BAU)'!J13)</f>
        <v>3.0890723010622425E-2</v>
      </c>
      <c r="K38" s="118">
        <f>MAX(K62*K$14,'Output - Jobs vs Yr (BAU)'!K13)</f>
        <v>3.9578046409939054E-2</v>
      </c>
      <c r="L38" s="118">
        <f>MAX(L62*L$14,'Output - Jobs vs Yr (BAU)'!L13)</f>
        <v>5.0355450823976779E-2</v>
      </c>
      <c r="M38" s="118">
        <f>MAX(M62*M$14,'Output - Jobs vs Yr (BAU)'!M13)</f>
        <v>6.3879249639514149E-2</v>
      </c>
      <c r="N38" s="184">
        <f>MAX(Inputs!$E21*N$21,'Output - Jobs vs Yr (BAU)'!N13)</f>
        <v>8.0703324655783962E-2</v>
      </c>
      <c r="O38" s="174">
        <f>MAX(O62*O$14,'Output - Jobs vs Yr (BAU)'!O13)</f>
        <v>8.3089605457420515E-2</v>
      </c>
      <c r="P38" s="174">
        <f>MAX(P62*P$14,'Output - Jobs vs Yr (BAU)'!P13)</f>
        <v>8.5238697366155497E-2</v>
      </c>
      <c r="Q38" s="174">
        <f>MAX(Q62*Q$14,'Output - Jobs vs Yr (BAU)'!Q13)</f>
        <v>8.7254263010649549E-2</v>
      </c>
      <c r="R38" s="174">
        <f>MAX(R62*R$14,'Output - Jobs vs Yr (BAU)'!R13)</f>
        <v>8.9575091395071735E-2</v>
      </c>
      <c r="S38" s="174">
        <f>MAX(S62*S$14,'Output - Jobs vs Yr (BAU)'!S13)</f>
        <v>9.1774783267567481E-2</v>
      </c>
      <c r="T38" s="174">
        <f>MAX(T62*T$14,'Output - Jobs vs Yr (BAU)'!T13)</f>
        <v>9.3866059645542607E-2</v>
      </c>
      <c r="U38" s="174">
        <f>MAX(U62*U$14,'Output - Jobs vs Yr (BAU)'!U13)</f>
        <v>9.6061720685876831E-2</v>
      </c>
      <c r="V38" s="174">
        <f>MAX(V62*V$14,'Output - Jobs vs Yr (BAU)'!V13)</f>
        <v>9.8230152370814686E-2</v>
      </c>
      <c r="W38" s="174">
        <f>MAX(W62*W$14,'Output - Jobs vs Yr (BAU)'!W13)</f>
        <v>0.10043536913856106</v>
      </c>
      <c r="X38" s="184">
        <f>Inputs!F21*'Output -Jobs vs Yr'!$X$14</f>
        <v>0.10229283843493894</v>
      </c>
      <c r="Y38" s="174">
        <f>MAX(Y62*Y$14,'Output - Jobs vs Yr (BAU)'!Y13)</f>
        <v>0.10287842734253402</v>
      </c>
      <c r="Z38" s="174">
        <f>MAX(Z62*Z$14,'Output - Jobs vs Yr (BAU)'!Z13)</f>
        <v>0.10360302310420728</v>
      </c>
      <c r="AA38" s="174">
        <f>MAX(AA62*AA$14,'Output - Jobs vs Yr (BAU)'!AA13)</f>
        <v>0.1043884809137957</v>
      </c>
      <c r="AB38" s="174">
        <f>MAX(AB62*AB$14,'Output - Jobs vs Yr (BAU)'!AB13)</f>
        <v>0.10526285389168195</v>
      </c>
      <c r="AC38" s="174">
        <f>MAX(AC62*AC$14,'Output - Jobs vs Yr (BAU)'!AC13)</f>
        <v>0.10610753653722108</v>
      </c>
      <c r="AD38" s="174">
        <f>MAX(AD62*AD$14,'Output - Jobs vs Yr (BAU)'!AD13)</f>
        <v>0.10694471993183233</v>
      </c>
      <c r="AE38" s="174">
        <f>MAX(AE62*AE$14,'Output - Jobs vs Yr (BAU)'!AE13)</f>
        <v>0.10773488415775309</v>
      </c>
      <c r="AF38" s="174">
        <f>MAX(AF62*AF$14,'Output - Jobs vs Yr (BAU)'!AF13)</f>
        <v>0.10852025213149359</v>
      </c>
      <c r="AG38" s="174">
        <f>MAX(AG62*AG$14,'Output - Jobs vs Yr (BAU)'!AG13)</f>
        <v>0.10934956038916965</v>
      </c>
      <c r="AH38" s="184">
        <f>Inputs!I21*'Output -Jobs vs Yr'!$AH$14</f>
        <v>0.11020668623773898</v>
      </c>
      <c r="AI38" s="127"/>
    </row>
    <row r="39" spans="1:36" s="20" customFormat="1">
      <c r="A39" s="9" t="s">
        <v>348</v>
      </c>
      <c r="B39" s="35">
        <v>1</v>
      </c>
      <c r="C39" s="330">
        <f>'Output - Jobs vs Yr (BAU)'!C14</f>
        <v>0</v>
      </c>
      <c r="D39" s="330">
        <f>MAX(D63*D$14,'Output - Jobs vs Yr (BAU)'!D14)</f>
        <v>0</v>
      </c>
      <c r="E39" s="330">
        <f>MAX(E63*E$14,'Output - Jobs vs Yr (BAU)'!E14)</f>
        <v>0.01</v>
      </c>
      <c r="F39" s="330">
        <f>MAX(F63*F$14,'Output - Jobs vs Yr (BAU)'!F14)</f>
        <v>0.01</v>
      </c>
      <c r="G39" s="330">
        <f>MAX(G63*G$14,'Output - Jobs vs Yr (BAU)'!G14)</f>
        <v>0.01</v>
      </c>
      <c r="H39" s="286">
        <f>'Output - Jobs vs Yr (BAU)'!H14</f>
        <v>0.01</v>
      </c>
      <c r="I39" s="118">
        <f>MAX(I63*I$14,'Output - Jobs vs Yr (BAU)'!I14)</f>
        <v>1.2357261525053426E-2</v>
      </c>
      <c r="J39" s="118">
        <f>MAX(J63*J$14,'Output - Jobs vs Yr (BAU)'!J14)</f>
        <v>1.5445361505311212E-2</v>
      </c>
      <c r="K39" s="118">
        <f>MAX(K63*K$14,'Output - Jobs vs Yr (BAU)'!K14)</f>
        <v>1.9789023204969527E-2</v>
      </c>
      <c r="L39" s="118">
        <f>MAX(L63*L$14,'Output - Jobs vs Yr (BAU)'!L14)</f>
        <v>2.5177725411988389E-2</v>
      </c>
      <c r="M39" s="118">
        <f>MAX(M63*M$14,'Output - Jobs vs Yr (BAU)'!M14)</f>
        <v>3.1939624819757075E-2</v>
      </c>
      <c r="N39" s="184">
        <f>MAX(Inputs!$E22*N$21,'Output - Jobs vs Yr (BAU)'!N14)</f>
        <v>4.0351662327891981E-2</v>
      </c>
      <c r="O39" s="174">
        <f>MAX(O63*O$14,'Output - Jobs vs Yr (BAU)'!O14)</f>
        <v>4.1544802728710258E-2</v>
      </c>
      <c r="P39" s="174">
        <f>MAX(P63*P$14,'Output - Jobs vs Yr (BAU)'!P14)</f>
        <v>4.2619348683077748E-2</v>
      </c>
      <c r="Q39" s="174">
        <f>MAX(Q63*Q$14,'Output - Jobs vs Yr (BAU)'!Q14)</f>
        <v>4.3627131505324775E-2</v>
      </c>
      <c r="R39" s="174">
        <f>MAX(R63*R$14,'Output - Jobs vs Yr (BAU)'!R14)</f>
        <v>4.4787545697535867E-2</v>
      </c>
      <c r="S39" s="174">
        <f>MAX(S63*S$14,'Output - Jobs vs Yr (BAU)'!S14)</f>
        <v>4.588739163378374E-2</v>
      </c>
      <c r="T39" s="174">
        <f>MAX(T63*T$14,'Output - Jobs vs Yr (BAU)'!T14)</f>
        <v>4.6933029822771304E-2</v>
      </c>
      <c r="U39" s="174">
        <f>MAX(U63*U$14,'Output - Jobs vs Yr (BAU)'!U14)</f>
        <v>4.8030860342938415E-2</v>
      </c>
      <c r="V39" s="174">
        <f>MAX(V63*V$14,'Output - Jobs vs Yr (BAU)'!V14)</f>
        <v>4.9115076185407343E-2</v>
      </c>
      <c r="W39" s="174">
        <f>MAX(W63*W$14,'Output - Jobs vs Yr (BAU)'!W14)</f>
        <v>5.0217684569280531E-2</v>
      </c>
      <c r="X39" s="184">
        <f>Inputs!F22*'Output -Jobs vs Yr'!$X$14</f>
        <v>5.1146419217469472E-2</v>
      </c>
      <c r="Y39" s="174">
        <f>MAX(Y63*Y$14,'Output - Jobs vs Yr (BAU)'!Y14)</f>
        <v>5.1439213671267012E-2</v>
      </c>
      <c r="Z39" s="174">
        <f>MAX(Z63*Z$14,'Output - Jobs vs Yr (BAU)'!Z14)</f>
        <v>5.1801511552103642E-2</v>
      </c>
      <c r="AA39" s="174">
        <f>MAX(AA63*AA$14,'Output - Jobs vs Yr (BAU)'!AA14)</f>
        <v>5.2194240456897849E-2</v>
      </c>
      <c r="AB39" s="174">
        <f>MAX(AB63*AB$14,'Output - Jobs vs Yr (BAU)'!AB14)</f>
        <v>5.2631426945840977E-2</v>
      </c>
      <c r="AC39" s="174">
        <f>MAX(AC63*AC$14,'Output - Jobs vs Yr (BAU)'!AC14)</f>
        <v>5.3053768268610538E-2</v>
      </c>
      <c r="AD39" s="174">
        <f>MAX(AD63*AD$14,'Output - Jobs vs Yr (BAU)'!AD14)</f>
        <v>5.3472359965916164E-2</v>
      </c>
      <c r="AE39" s="174">
        <f>MAX(AE63*AE$14,'Output - Jobs vs Yr (BAU)'!AE14)</f>
        <v>5.3867442078876546E-2</v>
      </c>
      <c r="AF39" s="174">
        <f>MAX(AF63*AF$14,'Output - Jobs vs Yr (BAU)'!AF14)</f>
        <v>5.4260126065746796E-2</v>
      </c>
      <c r="AG39" s="174">
        <f>MAX(AG63*AG$14,'Output - Jobs vs Yr (BAU)'!AG14)</f>
        <v>5.4674780194584827E-2</v>
      </c>
      <c r="AH39" s="184">
        <f>Inputs!I22*'Output -Jobs vs Yr'!$AH$14</f>
        <v>5.510334311886949E-2</v>
      </c>
      <c r="AI39" s="127"/>
    </row>
    <row r="40" spans="1:36" s="20" customFormat="1">
      <c r="A40" s="9" t="s">
        <v>344</v>
      </c>
      <c r="B40" s="35">
        <v>1</v>
      </c>
      <c r="C40" s="330">
        <f>'Output - Jobs vs Yr (BAU)'!C15</f>
        <v>0.01</v>
      </c>
      <c r="D40" s="330">
        <f>MAX(D64*D$14,'Output - Jobs vs Yr (BAU)'!D15)</f>
        <v>1.436306802515866E-2</v>
      </c>
      <c r="E40" s="330">
        <f>MAX(E64*E$14,'Output - Jobs vs Yr (BAU)'!E15)</f>
        <v>1.9388603714126255E-2</v>
      </c>
      <c r="F40" s="330">
        <f>MAX(F64*F$14,'Output - Jobs vs Yr (BAU)'!F15)</f>
        <v>2.0973607087819621E-2</v>
      </c>
      <c r="G40" s="330">
        <f>MAX(G64*G$14,'Output - Jobs vs Yr (BAU)'!G15)</f>
        <v>3.0362028967712128E-2</v>
      </c>
      <c r="H40" s="286">
        <f>'Output - Jobs vs Yr (BAU)'!H15</f>
        <v>0.01</v>
      </c>
      <c r="I40" s="118">
        <f>MAX(I64*I$14,'Output - Jobs vs Yr (BAU)'!I15)</f>
        <v>1.2357261525053426E-2</v>
      </c>
      <c r="J40" s="118">
        <f>MAX(J64*J$14,'Output - Jobs vs Yr (BAU)'!J15)</f>
        <v>1.5445361505311212E-2</v>
      </c>
      <c r="K40" s="118">
        <f>MAX(K64*K$14,'Output - Jobs vs Yr (BAU)'!K15)</f>
        <v>1.9789023204969527E-2</v>
      </c>
      <c r="L40" s="118">
        <f>MAX(L64*L$14,'Output - Jobs vs Yr (BAU)'!L15)</f>
        <v>2.5177725411988389E-2</v>
      </c>
      <c r="M40" s="118">
        <f>MAX(M64*M$14,'Output - Jobs vs Yr (BAU)'!M15)</f>
        <v>3.1939624819757075E-2</v>
      </c>
      <c r="N40" s="184">
        <f>MAX(Inputs!$E18*N$21,'Output - Jobs vs Yr (BAU)'!N15)</f>
        <v>4.0351662327891981E-2</v>
      </c>
      <c r="O40" s="174">
        <f>MAX(O64*O$14,'Output - Jobs vs Yr (BAU)'!O15)</f>
        <v>4.1544802728710258E-2</v>
      </c>
      <c r="P40" s="174">
        <f>MAX(P64*P$14,'Output - Jobs vs Yr (BAU)'!P15)</f>
        <v>4.2619348683077748E-2</v>
      </c>
      <c r="Q40" s="174">
        <f>MAX(Q64*Q$14,'Output - Jobs vs Yr (BAU)'!Q15)</f>
        <v>4.3627131505324775E-2</v>
      </c>
      <c r="R40" s="174">
        <f>MAX(R64*R$14,'Output - Jobs vs Yr (BAU)'!R15)</f>
        <v>4.4787545697535867E-2</v>
      </c>
      <c r="S40" s="174">
        <f>MAX(S64*S$14,'Output - Jobs vs Yr (BAU)'!S15)</f>
        <v>4.588739163378374E-2</v>
      </c>
      <c r="T40" s="174">
        <f>MAX(T64*T$14,'Output - Jobs vs Yr (BAU)'!T15)</f>
        <v>4.6933029822771304E-2</v>
      </c>
      <c r="U40" s="174">
        <f>MAX(U64*U$14,'Output - Jobs vs Yr (BAU)'!U15)</f>
        <v>4.8030860342938415E-2</v>
      </c>
      <c r="V40" s="174">
        <f>MAX(V64*V$14,'Output - Jobs vs Yr (BAU)'!V15)</f>
        <v>4.9115076185407343E-2</v>
      </c>
      <c r="W40" s="174">
        <f>MAX(W64*W$14,'Output - Jobs vs Yr (BAU)'!W15)</f>
        <v>5.0217684569280531E-2</v>
      </c>
      <c r="X40" s="184">
        <f>Inputs!F18*'Output -Jobs vs Yr'!$X$14</f>
        <v>5.1146419217469472E-2</v>
      </c>
      <c r="Y40" s="174">
        <f>MAX(Y64*Y$14,'Output - Jobs vs Yr (BAU)'!Y15)</f>
        <v>5.1439213671267012E-2</v>
      </c>
      <c r="Z40" s="174">
        <f>MAX(Z64*Z$14,'Output - Jobs vs Yr (BAU)'!Z15)</f>
        <v>5.1801511552103642E-2</v>
      </c>
      <c r="AA40" s="174">
        <f>MAX(AA64*AA$14,'Output - Jobs vs Yr (BAU)'!AA15)</f>
        <v>5.2194240456897849E-2</v>
      </c>
      <c r="AB40" s="174">
        <f>MAX(AB64*AB$14,'Output - Jobs vs Yr (BAU)'!AB15)</f>
        <v>5.2631426945840977E-2</v>
      </c>
      <c r="AC40" s="174">
        <f>MAX(AC64*AC$14,'Output - Jobs vs Yr (BAU)'!AC15)</f>
        <v>5.3053768268610538E-2</v>
      </c>
      <c r="AD40" s="174">
        <f>MAX(AD64*AD$14,'Output - Jobs vs Yr (BAU)'!AD15)</f>
        <v>5.3472359965916164E-2</v>
      </c>
      <c r="AE40" s="174">
        <f>MAX(AE64*AE$14,'Output - Jobs vs Yr (BAU)'!AE15)</f>
        <v>5.3867442078876546E-2</v>
      </c>
      <c r="AF40" s="174">
        <f>MAX(AF64*AF$14,'Output - Jobs vs Yr (BAU)'!AF15)</f>
        <v>5.4260126065746796E-2</v>
      </c>
      <c r="AG40" s="174">
        <f>MAX(AG64*AG$14,'Output - Jobs vs Yr (BAU)'!AG15)</f>
        <v>5.4674780194584827E-2</v>
      </c>
      <c r="AH40" s="184">
        <f>Inputs!I18*'Output -Jobs vs Yr'!$AH$14</f>
        <v>5.510334311886949E-2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742</v>
      </c>
      <c r="D42" s="330">
        <f>MAX(D66*D$14,'Output - Jobs vs Yr (BAU)'!D16)</f>
        <v>1068.0860538077018</v>
      </c>
      <c r="E42" s="330">
        <f>MAX(E66*E$14,'Output - Jobs vs Yr (BAU)'!E16)</f>
        <v>3134.7867499999998</v>
      </c>
      <c r="F42" s="330">
        <f>MAX(F66*F$14,'Output - Jobs vs Yr (BAU)'!F16)</f>
        <v>3699.232</v>
      </c>
      <c r="G42" s="330">
        <f>MAX(G66*G$14,'Output - Jobs vs Yr (BAU)'!G16)</f>
        <v>4251.8620000000001</v>
      </c>
      <c r="H42" s="286">
        <f>'Output - Jobs vs Yr (BAU)'!H16</f>
        <v>4262.027</v>
      </c>
      <c r="I42" s="118">
        <f>MAX(I66*I$14,'Output - Jobs vs Yr (BAU)'!I16)</f>
        <v>5278.2937547637694</v>
      </c>
      <c r="J42" s="118">
        <f>MAX(J66*J$14,'Output - Jobs vs Yr (BAU)'!J16)</f>
        <v>6611.8732249163777</v>
      </c>
      <c r="K42" s="118">
        <f>MAX(K66*K$14,'Output - Jobs vs Yr (BAU)'!K16)</f>
        <v>8489.9653908314303</v>
      </c>
      <c r="L42" s="118">
        <f>MAX(L66*L$14,'Output - Jobs vs Yr (BAU)'!L16)</f>
        <v>10825.62992769716</v>
      </c>
      <c r="M42" s="118">
        <f>MAX(M66*M$14,'Output - Jobs vs Yr (BAU)'!M16)</f>
        <v>13763.269568612483</v>
      </c>
      <c r="N42" s="184">
        <f>MAX(Inputs!$E23*N$21,'Output - Jobs vs Yr (BAU)'!N16)</f>
        <v>17426.427273198067</v>
      </c>
      <c r="O42" s="174">
        <f>MAX(O66*O$14,'Output - Jobs vs Yr (BAU)'!O16)</f>
        <v>17941.701569771525</v>
      </c>
      <c r="P42" s="174">
        <f>MAX(P66*P$14,'Output - Jobs vs Yr (BAU)'!P16)</f>
        <v>18405.759203217542</v>
      </c>
      <c r="Q42" s="174">
        <f>MAX(Q66*Q$14,'Output - Jobs vs Yr (BAU)'!Q16)</f>
        <v>18840.984248380719</v>
      </c>
      <c r="R42" s="174">
        <f>MAX(R66*R$14,'Output - Jobs vs Yr (BAU)'!R16)</f>
        <v>19342.125276054703</v>
      </c>
      <c r="S42" s="174">
        <f>MAX(S66*S$14,'Output - Jobs vs Yr (BAU)'!S16)</f>
        <v>19817.109058978011</v>
      </c>
      <c r="T42" s="174">
        <f>MAX(T66*T$14,'Output - Jobs vs Yr (BAU)'!T16)</f>
        <v>20268.68247140407</v>
      </c>
      <c r="U42" s="174">
        <f>MAX(U66*U$14,'Output - Jobs vs Yr (BAU)'!U16)</f>
        <v>20742.795868828231</v>
      </c>
      <c r="V42" s="174">
        <f>MAX(V66*V$14,'Output - Jobs vs Yr (BAU)'!V16)</f>
        <v>21211.029578104044</v>
      </c>
      <c r="W42" s="174">
        <f>MAX(W66*W$14,'Output - Jobs vs Yr (BAU)'!W16)</f>
        <v>21687.206362501427</v>
      </c>
      <c r="X42" s="184">
        <f>Inputs!F23*'Output -Jobs vs Yr'!$X$14</f>
        <v>22088.29335295179</v>
      </c>
      <c r="Y42" s="174">
        <f>MAX(Y66*Y$14,'Output - Jobs vs Yr (BAU)'!Y16)</f>
        <v>22214.740714987031</v>
      </c>
      <c r="Z42" s="174">
        <f>MAX(Z66*Z$14,'Output - Jobs vs Yr (BAU)'!Z16)</f>
        <v>22371.204099824317</v>
      </c>
      <c r="AA42" s="174">
        <f>MAX(AA66*AA$14,'Output - Jobs vs Yr (BAU)'!AA16)</f>
        <v>22540.809546109696</v>
      </c>
      <c r="AB42" s="174">
        <f>MAX(AB66*AB$14,'Output - Jobs vs Yr (BAU)'!AB16)</f>
        <v>22729.614619181648</v>
      </c>
      <c r="AC42" s="174">
        <f>MAX(AC66*AC$14,'Output - Jobs vs Yr (BAU)'!AC16)</f>
        <v>22912.008600522604</v>
      </c>
      <c r="AD42" s="174">
        <f>MAX(AD66*AD$14,'Output - Jobs vs Yr (BAU)'!AD16)</f>
        <v>23092.783253893424</v>
      </c>
      <c r="AE42" s="174">
        <f>MAX(AE66*AE$14,'Output - Jobs vs Yr (BAU)'!AE16)</f>
        <v>23263.404965893787</v>
      </c>
      <c r="AF42" s="174">
        <f>MAX(AF66*AF$14,'Output - Jobs vs Yr (BAU)'!AF16)</f>
        <v>23432.991013748222</v>
      </c>
      <c r="AG42" s="174">
        <f>MAX(AG66*AG$14,'Output - Jobs vs Yr (BAU)'!AG16)</f>
        <v>23612.065173345673</v>
      </c>
      <c r="AH42" s="184">
        <f>Inputs!I23*'Output -Jobs vs Yr'!$AH$14</f>
        <v>23797.146039936717</v>
      </c>
      <c r="AI42" s="127"/>
    </row>
    <row r="43" spans="1:36">
      <c r="A43" s="10" t="s">
        <v>332</v>
      </c>
      <c r="B43" s="37"/>
      <c r="C43" s="330">
        <f>SUM(C31:C42)</f>
        <v>2389</v>
      </c>
      <c r="D43" s="330">
        <f t="shared" ref="D43:AG43" si="29">SUM(D31:D42)</f>
        <v>3000.0090714301114</v>
      </c>
      <c r="E43" s="330">
        <f t="shared" si="29"/>
        <v>5263.680330021667</v>
      </c>
      <c r="F43" s="330">
        <f t="shared" si="29"/>
        <v>5578.6250737728715</v>
      </c>
      <c r="G43" s="330">
        <f t="shared" si="29"/>
        <v>6472.1982172193839</v>
      </c>
      <c r="H43" s="286">
        <f t="shared" si="29"/>
        <v>6478.919248376119</v>
      </c>
      <c r="I43" s="83">
        <f t="shared" si="29"/>
        <v>7518.4417051576302</v>
      </c>
      <c r="J43" s="83">
        <f t="shared" si="29"/>
        <v>8899.7965161465509</v>
      </c>
      <c r="K43" s="83">
        <f t="shared" si="29"/>
        <v>10883.564043735485</v>
      </c>
      <c r="L43" s="83">
        <f t="shared" si="29"/>
        <v>13310.918894435665</v>
      </c>
      <c r="M43" s="83">
        <f t="shared" si="29"/>
        <v>16334.9912430732</v>
      </c>
      <c r="N43" s="184">
        <f t="shared" si="29"/>
        <v>20075.933530772334</v>
      </c>
      <c r="O43" s="83">
        <f t="shared" si="29"/>
        <v>20624.043120264912</v>
      </c>
      <c r="P43" s="83">
        <f t="shared" si="29"/>
        <v>21111.515002920882</v>
      </c>
      <c r="Q43" s="83">
        <f t="shared" si="29"/>
        <v>21564.393489904167</v>
      </c>
      <c r="R43" s="83">
        <f t="shared" si="29"/>
        <v>22091.097498816212</v>
      </c>
      <c r="S43" s="83">
        <f t="shared" si="29"/>
        <v>22586.305443253423</v>
      </c>
      <c r="T43" s="83">
        <f t="shared" si="29"/>
        <v>23053.374756417405</v>
      </c>
      <c r="U43" s="83">
        <f t="shared" si="29"/>
        <v>23544.640284389134</v>
      </c>
      <c r="V43" s="83">
        <f t="shared" si="29"/>
        <v>24027.812606456875</v>
      </c>
      <c r="W43" s="83">
        <f t="shared" si="29"/>
        <v>24518.591094062293</v>
      </c>
      <c r="X43" s="184">
        <f t="shared" si="29"/>
        <v>24923.336746453493</v>
      </c>
      <c r="Y43" s="174">
        <f t="shared" si="29"/>
        <v>25061.738636482612</v>
      </c>
      <c r="Z43" s="174">
        <f t="shared" si="29"/>
        <v>25233.825755640188</v>
      </c>
      <c r="AA43" s="174">
        <f t="shared" si="29"/>
        <v>25420.561830554718</v>
      </c>
      <c r="AB43" s="174">
        <f t="shared" si="29"/>
        <v>25628.761676313574</v>
      </c>
      <c r="AC43" s="174">
        <f t="shared" si="29"/>
        <v>25829.563395382989</v>
      </c>
      <c r="AD43" s="174">
        <f t="shared" si="29"/>
        <v>26028.367508827767</v>
      </c>
      <c r="AE43" s="174">
        <f t="shared" si="29"/>
        <v>26215.567170912258</v>
      </c>
      <c r="AF43" s="174">
        <f t="shared" si="29"/>
        <v>26401.432474219713</v>
      </c>
      <c r="AG43" s="174">
        <f t="shared" si="29"/>
        <v>26597.8069845387</v>
      </c>
      <c r="AH43" s="184">
        <f>SUM(AH31:AH42)</f>
        <v>26800.766141408949</v>
      </c>
      <c r="AI43" s="127"/>
    </row>
    <row r="44" spans="1:36">
      <c r="A44" s="10" t="s">
        <v>124</v>
      </c>
      <c r="B44" s="37"/>
      <c r="C44" s="331">
        <f>SUMPRODUCT($B34:$B42,C34:C42)</f>
        <v>743.01</v>
      </c>
      <c r="D44" s="331">
        <f>SUMPRODUCT($B34:$B42,D34:D42)</f>
        <v>1070.0172208397664</v>
      </c>
      <c r="E44" s="331">
        <f t="shared" ref="E44:AG44" si="30">SUMPRODUCT($B34:$B42*E34:E42)</f>
        <v>3138.3334313682362</v>
      </c>
      <c r="F44" s="331">
        <f t="shared" si="30"/>
        <v>3704.3166957912053</v>
      </c>
      <c r="G44" s="331">
        <f t="shared" si="30"/>
        <v>4261.6123563143183</v>
      </c>
      <c r="H44" s="402">
        <f t="shared" si="30"/>
        <v>4263.3867858312497</v>
      </c>
      <c r="I44" s="14">
        <f>SUMPRODUCT($B34:$B42*I34:I42)</f>
        <v>5280.8458121810345</v>
      </c>
      <c r="J44" s="14">
        <f t="shared" si="30"/>
        <v>6615.742523862581</v>
      </c>
      <c r="K44" s="14">
        <f t="shared" si="30"/>
        <v>8495.3857462149554</v>
      </c>
      <c r="L44" s="14">
        <f t="shared" si="30"/>
        <v>10832.957674427103</v>
      </c>
      <c r="M44" s="14">
        <f t="shared" si="30"/>
        <v>13773.103917501718</v>
      </c>
      <c r="N44" s="182">
        <f t="shared" si="30"/>
        <v>17439.757706718221</v>
      </c>
      <c r="O44" s="14">
        <f t="shared" si="30"/>
        <v>17956.219185071855</v>
      </c>
      <c r="P44" s="14">
        <f t="shared" si="30"/>
        <v>18421.445395011033</v>
      </c>
      <c r="Q44" s="14">
        <f t="shared" si="30"/>
        <v>18857.8285427601</v>
      </c>
      <c r="R44" s="14">
        <f t="shared" si="30"/>
        <v>19360.151618074153</v>
      </c>
      <c r="S44" s="14">
        <f t="shared" si="30"/>
        <v>19836.307946592366</v>
      </c>
      <c r="T44" s="14">
        <f t="shared" si="30"/>
        <v>20289.04540041498</v>
      </c>
      <c r="U44" s="14">
        <f t="shared" si="30"/>
        <v>20764.331027252338</v>
      </c>
      <c r="V44" s="14">
        <f t="shared" si="30"/>
        <v>21233.73483004887</v>
      </c>
      <c r="W44" s="14">
        <f t="shared" si="30"/>
        <v>21711.084593418378</v>
      </c>
      <c r="X44" s="187">
        <f t="shared" si="30"/>
        <v>22113.317285250268</v>
      </c>
      <c r="Y44" s="14">
        <f t="shared" si="30"/>
        <v>22240.810581349138</v>
      </c>
      <c r="Z44" s="14">
        <f t="shared" si="30"/>
        <v>22398.330804059187</v>
      </c>
      <c r="AA44" s="14">
        <f t="shared" si="30"/>
        <v>22568.997862285185</v>
      </c>
      <c r="AB44" s="14">
        <f t="shared" si="30"/>
        <v>22758.871521874877</v>
      </c>
      <c r="AC44" s="14">
        <f t="shared" si="30"/>
        <v>22942.331760800091</v>
      </c>
      <c r="AD44" s="14">
        <f t="shared" si="30"/>
        <v>23124.17208350791</v>
      </c>
      <c r="AE44" s="14">
        <f t="shared" si="30"/>
        <v>23295.855776623965</v>
      </c>
      <c r="AF44" s="14">
        <f t="shared" si="30"/>
        <v>23466.503429372224</v>
      </c>
      <c r="AG44" s="14">
        <f t="shared" si="30"/>
        <v>23646.642640574613</v>
      </c>
      <c r="AH44" s="187">
        <f>SUMPRODUCT($B34:$B42*AH34:AH42)</f>
        <v>23832.790740804743</v>
      </c>
      <c r="AI44" s="127"/>
    </row>
    <row r="45" spans="1:36">
      <c r="A45" s="10" t="s">
        <v>117</v>
      </c>
      <c r="B45" s="37"/>
      <c r="C45" s="332">
        <f t="shared" ref="C45:AG45" si="31">C44/C14</f>
        <v>1.0502501908235094E-2</v>
      </c>
      <c r="D45" s="332">
        <f t="shared" si="31"/>
        <v>1.3250823158100413E-2</v>
      </c>
      <c r="E45" s="332">
        <f t="shared" si="31"/>
        <v>3.6228725408941356E-2</v>
      </c>
      <c r="F45" s="332">
        <f t="shared" si="31"/>
        <v>4.974353959584963E-2</v>
      </c>
      <c r="G45" s="332">
        <f t="shared" si="31"/>
        <v>4.9744612762024527E-2</v>
      </c>
      <c r="H45" s="284">
        <f t="shared" si="31"/>
        <v>4.9713332849388593E-2</v>
      </c>
      <c r="I45" s="23">
        <f t="shared" si="31"/>
        <v>6.2704771874044191E-2</v>
      </c>
      <c r="J45" s="23">
        <f t="shared" si="31"/>
        <v>7.9086263581168686E-2</v>
      </c>
      <c r="K45" s="23">
        <f t="shared" si="31"/>
        <v>9.9742553953415358E-2</v>
      </c>
      <c r="L45" s="23">
        <f t="shared" si="31"/>
        <v>0.12579213551065763</v>
      </c>
      <c r="M45" s="23">
        <f t="shared" si="31"/>
        <v>0.15864491203552633</v>
      </c>
      <c r="N45" s="178">
        <f t="shared" si="31"/>
        <v>0.20008030857902998</v>
      </c>
      <c r="O45" s="23">
        <f t="shared" si="31"/>
        <v>0.20460419342779523</v>
      </c>
      <c r="P45" s="23">
        <f t="shared" si="31"/>
        <v>0.20923013220333156</v>
      </c>
      <c r="Q45" s="207">
        <f t="shared" si="31"/>
        <v>0.21396037971032758</v>
      </c>
      <c r="R45" s="207">
        <f t="shared" si="31"/>
        <v>0.21879673013902107</v>
      </c>
      <c r="S45" s="207">
        <f t="shared" si="31"/>
        <v>0.22374215085184906</v>
      </c>
      <c r="T45" s="207">
        <f t="shared" si="31"/>
        <v>0.22879912668282837</v>
      </c>
      <c r="U45" s="207">
        <f t="shared" si="31"/>
        <v>0.23396986218928192</v>
      </c>
      <c r="V45" s="207">
        <f t="shared" si="31"/>
        <v>0.23925714171042825</v>
      </c>
      <c r="W45" s="207">
        <f t="shared" si="31"/>
        <v>0.24466349708256593</v>
      </c>
      <c r="X45" s="185">
        <f t="shared" si="31"/>
        <v>0.25019233974354799</v>
      </c>
      <c r="Y45" s="172">
        <f t="shared" si="31"/>
        <v>0.25213550788150463</v>
      </c>
      <c r="Z45" s="172">
        <f t="shared" si="31"/>
        <v>0.25409336127997834</v>
      </c>
      <c r="AA45" s="172">
        <f t="shared" si="31"/>
        <v>0.25606614614056589</v>
      </c>
      <c r="AB45" s="172">
        <f t="shared" si="31"/>
        <v>0.25805389988506178</v>
      </c>
      <c r="AC45" s="172">
        <f t="shared" si="31"/>
        <v>0.26005699656866416</v>
      </c>
      <c r="AD45" s="172">
        <f t="shared" si="31"/>
        <v>0.26207550983655847</v>
      </c>
      <c r="AE45" s="172">
        <f t="shared" si="31"/>
        <v>0.26410966215915305</v>
      </c>
      <c r="AF45" s="172">
        <f t="shared" si="31"/>
        <v>0.26615947706734161</v>
      </c>
      <c r="AG45" s="172">
        <f t="shared" si="31"/>
        <v>0.2682249466549998</v>
      </c>
      <c r="AH45" s="185">
        <f>AH44/AH14</f>
        <v>0.27030622801314913</v>
      </c>
      <c r="AI45" s="127"/>
    </row>
    <row r="46" spans="1:36" s="252" customFormat="1">
      <c r="A46" s="10" t="s">
        <v>333</v>
      </c>
      <c r="B46" s="37"/>
      <c r="C46" s="330">
        <f>SUM(EIA_electricity_aeo2014!E50,EIA_electricity_aeo2014!E55)*1000</f>
        <v>169</v>
      </c>
      <c r="D46" s="330">
        <f>SUM(EIA_electricity_aeo2014!F50,EIA_electricity_aeo2014!F55)*1000</f>
        <v>156</v>
      </c>
      <c r="E46" s="330">
        <f>SUM(EIA_electricity_aeo2014!G50,EIA_electricity_aeo2014!G55)*1000</f>
        <v>175.0026672517514</v>
      </c>
      <c r="F46" s="330">
        <f>SUM(EIA_electricity_aeo2014!H50,EIA_electricity_aeo2014!H55)*1000</f>
        <v>131.2708243029964</v>
      </c>
      <c r="G46" s="330">
        <f>SUM(EIA_electricity_aeo2014!I50,EIA_electricity_aeo2014!I55)*1000</f>
        <v>91.536189068727396</v>
      </c>
      <c r="H46" s="286">
        <f>SUM(EIA_electricity_aeo2014!J50,EIA_electricity_aeo2014!J55)*1000</f>
        <v>91.546174951897612</v>
      </c>
      <c r="I46" s="286">
        <f>SUM(EIA_electricity_aeo2014!K50,EIA_electricity_aeo2014!K55)*1000</f>
        <v>90.337676658185359</v>
      </c>
      <c r="J46" s="286">
        <f>SUM(EIA_electricity_aeo2014!L50,EIA_electricity_aeo2014!L55)*1000</f>
        <v>87.263318369926907</v>
      </c>
      <c r="K46" s="286">
        <f>SUM(EIA_electricity_aeo2014!M50,EIA_electricity_aeo2014!M55)*1000</f>
        <v>89.105432449642777</v>
      </c>
      <c r="L46" s="286">
        <f>SUM(EIA_electricity_aeo2014!N50,EIA_electricity_aeo2014!N55)*1000</f>
        <v>90.842286956849108</v>
      </c>
      <c r="M46" s="286">
        <f>SUM(EIA_electricity_aeo2014!O50,EIA_electricity_aeo2014!O55)*1000</f>
        <v>91.857788442004988</v>
      </c>
      <c r="N46" s="286">
        <f>SUM(EIA_electricity_aeo2014!P50,EIA_electricity_aeo2014!P55)*1000</f>
        <v>92.296735149401911</v>
      </c>
      <c r="O46" s="286">
        <f>SUM(EIA_electricity_aeo2014!Q50,EIA_electricity_aeo2014!Q55)*1000</f>
        <v>93.119482391262125</v>
      </c>
      <c r="P46" s="286">
        <f>SUM(EIA_electricity_aeo2014!R50,EIA_electricity_aeo2014!R55)*1000</f>
        <v>93.661057347693415</v>
      </c>
      <c r="Q46" s="286">
        <f>SUM(EIA_electricity_aeo2014!S50,EIA_electricity_aeo2014!S55)*1000</f>
        <v>93.826478146702954</v>
      </c>
      <c r="R46" s="286">
        <f>SUM(EIA_electricity_aeo2014!T50,EIA_electricity_aeo2014!T55)*1000</f>
        <v>93.320115429517699</v>
      </c>
      <c r="S46" s="286">
        <f>SUM(EIA_electricity_aeo2014!U50,EIA_electricity_aeo2014!U55)*1000</f>
        <v>93.009449754873287</v>
      </c>
      <c r="T46" s="286">
        <f>SUM(EIA_electricity_aeo2014!V50,EIA_electricity_aeo2014!V55)*1000</f>
        <v>92.568919740108953</v>
      </c>
      <c r="U46" s="286">
        <f>SUM(EIA_electricity_aeo2014!W50,EIA_electricity_aeo2014!W55)*1000</f>
        <v>92.297366461035537</v>
      </c>
      <c r="V46" s="286">
        <f>SUM(EIA_electricity_aeo2014!X50,EIA_electricity_aeo2014!X55)*1000</f>
        <v>92.056666093351197</v>
      </c>
      <c r="W46" s="286">
        <f>SUM(EIA_electricity_aeo2014!Y50,EIA_electricity_aeo2014!Y55)*1000</f>
        <v>92.067333085534685</v>
      </c>
      <c r="X46" s="286">
        <f>SUM(EIA_electricity_aeo2014!Z50,EIA_electricity_aeo2014!Z55)*1000</f>
        <v>92.515547552296383</v>
      </c>
      <c r="Y46" s="286">
        <f>SUM(EIA_electricity_aeo2014!AA50,EIA_electricity_aeo2014!AA55)*1000</f>
        <v>91.957729724120426</v>
      </c>
      <c r="Z46" s="286">
        <f>SUM(EIA_electricity_aeo2014!AB50,EIA_electricity_aeo2014!AB55)*1000</f>
        <v>91.684827070135711</v>
      </c>
      <c r="AA46" s="286">
        <f>SUM(EIA_electricity_aeo2014!AC50,EIA_electricity_aeo2014!AC55)*1000</f>
        <v>91.694531010654757</v>
      </c>
      <c r="AB46" s="286">
        <f>SUM(EIA_electricity_aeo2014!AD50,EIA_electricity_aeo2014!AD55)*1000</f>
        <v>91.824144061949781</v>
      </c>
      <c r="AC46" s="286">
        <f>SUM(EIA_electricity_aeo2014!AE50,EIA_electricity_aeo2014!AE55)*1000</f>
        <v>91.753695775219384</v>
      </c>
      <c r="AD46" s="286">
        <f>SUM(EIA_electricity_aeo2014!AF50,EIA_electricity_aeo2014!AF55)*1000</f>
        <v>91.692304002880562</v>
      </c>
      <c r="AE46" s="286">
        <f>SUM(EIA_electricity_aeo2014!AG50,EIA_electricity_aeo2014!AG55)*1000</f>
        <v>91.663487633471178</v>
      </c>
      <c r="AF46" s="286">
        <f>SUM(EIA_electricity_aeo2014!AH50,EIA_electricity_aeo2014!AH55)*1000</f>
        <v>91.601548211443458</v>
      </c>
      <c r="AG46" s="286">
        <f>SUM(EIA_electricity_aeo2014!AI50,EIA_electricity_aeo2014!AI55)*1000</f>
        <v>91.67128894567702</v>
      </c>
      <c r="AH46" s="286">
        <f>SUM(EIA_electricity_aeo2014!AJ50,EIA_electricity_aeo2014!AJ55)*1000</f>
        <v>91.592650479104407</v>
      </c>
      <c r="AI46" s="292"/>
    </row>
    <row r="47" spans="1:36" s="252" customFormat="1">
      <c r="A47" s="10" t="s">
        <v>142</v>
      </c>
      <c r="B47" s="37"/>
      <c r="C47" s="330">
        <f>(C$14-C$43-C$46)*0.7</f>
        <v>47731.6</v>
      </c>
      <c r="D47" s="330">
        <f>(D$14-D$30-D$43-D$46)*EIA_electricity_aeo2014!F60</f>
        <v>77456.230215178308</v>
      </c>
      <c r="E47" s="330">
        <f>(E$14-E$30-E$43-E$46)*EIA_electricity_aeo2014!G60</f>
        <v>80704.824319225081</v>
      </c>
      <c r="F47" s="330">
        <f>(F$14-F$30-F$43-F$46)*EIA_electricity_aeo2014!H60</f>
        <v>68073.958985482022</v>
      </c>
      <c r="G47" s="330">
        <f>(G$14-G$30-G$43-G$46)*EIA_electricity_aeo2014!I60</f>
        <v>78549.085105752645</v>
      </c>
      <c r="H47" s="286">
        <f>(H$14-H$30-H$43-H$46)*EIA_electricity_aeo2014!J60</f>
        <v>78652.385763923172</v>
      </c>
      <c r="I47" s="286">
        <f>(I$14-I$30-I$43-I$46)*EIA_electricity_aeo2014!K60</f>
        <v>76022.212347548804</v>
      </c>
      <c r="J47" s="286">
        <f>(J$14-J$30-J$43-J$46)*EIA_electricity_aeo2014!L60</f>
        <v>74003.514689035976</v>
      </c>
      <c r="K47" s="286">
        <f>(K$14-K$30-K$43-K$46)*EIA_electricity_aeo2014!M60</f>
        <v>73535.761749062542</v>
      </c>
      <c r="L47" s="286">
        <f>(L$14-L$30-L$43-L$46)*EIA_electricity_aeo2014!N60</f>
        <v>72057.034708463849</v>
      </c>
      <c r="M47" s="286">
        <f>(M$14-M$30-M$43-M$46)*EIA_electricity_aeo2014!O60</f>
        <v>69747.928283235437</v>
      </c>
      <c r="N47" s="287">
        <f>(N$14-N$43-N$46)*EIA_electricity_aeo2014!P60 - N30</f>
        <v>66381.620675033773</v>
      </c>
      <c r="O47" s="286">
        <f>(O$14-O$43-O$46)*EIA_electricity_aeo2014!Q60 - O30</f>
        <v>66445.071548800697</v>
      </c>
      <c r="P47" s="286">
        <f>(P$14-P$43-P$46)*EIA_electricity_aeo2014!R60 - P30</f>
        <v>66235.850540882559</v>
      </c>
      <c r="Q47" s="286">
        <f>(Q$14-Q$43-Q$46)*EIA_electricity_aeo2014!S60 - Q30</f>
        <v>65855.138756931367</v>
      </c>
      <c r="R47" s="286">
        <f>(R$14-R$43-R$46)*EIA_electricity_aeo2014!T60 - R30</f>
        <v>65683.752452141111</v>
      </c>
      <c r="S47" s="286">
        <f>(S$14-S$43-S$46)*EIA_electricity_aeo2014!U60 - S30</f>
        <v>65365.189903802602</v>
      </c>
      <c r="T47" s="286">
        <f>(T$14-T$43-T$46)*EIA_electricity_aeo2014!V60 - T30</f>
        <v>64888.530310586248</v>
      </c>
      <c r="U47" s="286">
        <f>(U$14-U$43-U$46)*EIA_electricity_aeo2014!W60 - U30</f>
        <v>64462.541266778535</v>
      </c>
      <c r="V47" s="286">
        <f>(V$14-V$43-V$46)*EIA_electricity_aeo2014!X60 - V30</f>
        <v>63988.958763528244</v>
      </c>
      <c r="W47" s="286">
        <f>(W$14-W$43-W$46)*EIA_electricity_aeo2014!Y60 - W30</f>
        <v>63484.363207390779</v>
      </c>
      <c r="X47" s="287">
        <f>(X$14-X$43-X$46)*EIA_electricity_aeo2014!Z60 - X30</f>
        <v>62736.060152318794</v>
      </c>
      <c r="Y47" s="286">
        <f>(Y$14-Y$43-Y$46)*EIA_electricity_aeo2014!AA60 - Y30</f>
        <v>62388.175096729414</v>
      </c>
      <c r="Z47" s="286">
        <f>(Z$14-Z$43-Z$46)*EIA_electricity_aeo2014!AB60 - Z30</f>
        <v>62125.786273111626</v>
      </c>
      <c r="AA47" s="286">
        <f>(AA$14-AA$43-AA$46)*EIA_electricity_aeo2014!AC60 - AA30</f>
        <v>61892.599881942762</v>
      </c>
      <c r="AB47" s="286">
        <f>(AB$14-AB$43-AB$46)*EIA_electricity_aeo2014!AD60 - AB30</f>
        <v>61715.606592154887</v>
      </c>
      <c r="AC47" s="286">
        <f>(AC$14-AC$43-AC$46)*EIA_electricity_aeo2014!AE60 - AC30</f>
        <v>61522.072810269186</v>
      </c>
      <c r="AD47" s="286">
        <f>(AD$14-AD$43-AD$46)*EIA_electricity_aeo2014!AF60 - AD30</f>
        <v>61316.059204243291</v>
      </c>
      <c r="AE47" s="286">
        <f>(AE$14-AE$43-AE$46)*EIA_electricity_aeo2014!AG60 - AE30</f>
        <v>61083.395452995974</v>
      </c>
      <c r="AF47" s="286">
        <f>(AF$14-AF$43-AF$46)*EIA_electricity_aeo2014!AH60 - AF30</f>
        <v>60849.234182378044</v>
      </c>
      <c r="AG47" s="286">
        <f>(AG$14-AG$43-AG$46)*EIA_electricity_aeo2014!AI60 - AG30</f>
        <v>60646.698604239638</v>
      </c>
      <c r="AH47" s="287">
        <f>(AH$14-AH$43-AH$46)*EIA_electricity_aeo2014!AJ60 - AH30</f>
        <v>60448.950937218418</v>
      </c>
      <c r="AI47" s="292"/>
      <c r="AJ47" s="398"/>
    </row>
    <row r="48" spans="1:36" s="252" customFormat="1">
      <c r="A48" s="10" t="s">
        <v>222</v>
      </c>
      <c r="B48" s="37"/>
      <c r="C48" s="330">
        <f>(C$14-C$43-C$46)* 0.3</f>
        <v>20456.399999999998</v>
      </c>
      <c r="D48" s="330">
        <f t="shared" ref="D48:AH48" si="32">(D$14-SUM(D30:D42,D46:D47))</f>
        <v>138.76071339158807</v>
      </c>
      <c r="E48" s="330">
        <f t="shared" si="32"/>
        <v>482.04729364758532</v>
      </c>
      <c r="F48" s="330">
        <f>(F$14-SUM(F30:F42,F46:F47))</f>
        <v>684.4424247477873</v>
      </c>
      <c r="G48" s="330">
        <f t="shared" si="32"/>
        <v>557.00722279856564</v>
      </c>
      <c r="H48" s="286">
        <f t="shared" si="32"/>
        <v>536.57272318340256</v>
      </c>
      <c r="I48" s="286">
        <f t="shared" si="32"/>
        <v>586.61491130272043</v>
      </c>
      <c r="J48" s="286">
        <f t="shared" si="32"/>
        <v>661.65816882452054</v>
      </c>
      <c r="K48" s="286">
        <f t="shared" si="32"/>
        <v>664.70109882250836</v>
      </c>
      <c r="L48" s="286">
        <f t="shared" si="32"/>
        <v>659.12897444718692</v>
      </c>
      <c r="M48" s="286">
        <f t="shared" si="32"/>
        <v>642.40289470620337</v>
      </c>
      <c r="N48" s="287">
        <f t="shared" si="32"/>
        <v>613.93759263558604</v>
      </c>
      <c r="O48" s="286">
        <f t="shared" si="32"/>
        <v>598.52423890623322</v>
      </c>
      <c r="P48" s="286">
        <f t="shared" si="32"/>
        <v>602.91430268064141</v>
      </c>
      <c r="Q48" s="286">
        <f t="shared" si="32"/>
        <v>623.65322223416297</v>
      </c>
      <c r="R48" s="286">
        <f t="shared" si="32"/>
        <v>616.47778814427147</v>
      </c>
      <c r="S48" s="286">
        <f t="shared" si="32"/>
        <v>612.49555412870541</v>
      </c>
      <c r="T48" s="286">
        <f t="shared" si="32"/>
        <v>641.76221471939061</v>
      </c>
      <c r="U48" s="286">
        <f t="shared" si="32"/>
        <v>648.40866480687691</v>
      </c>
      <c r="V48" s="286">
        <f t="shared" si="32"/>
        <v>639.7655409022118</v>
      </c>
      <c r="W48" s="286">
        <f t="shared" si="32"/>
        <v>643.53091746549762</v>
      </c>
      <c r="X48" s="287">
        <f t="shared" si="32"/>
        <v>633.35669467649132</v>
      </c>
      <c r="Y48" s="286">
        <f t="shared" si="32"/>
        <v>667.88038130462519</v>
      </c>
      <c r="Z48" s="286">
        <f t="shared" si="32"/>
        <v>698.70710818991938</v>
      </c>
      <c r="AA48" s="286">
        <f t="shared" si="32"/>
        <v>732.51842489521368</v>
      </c>
      <c r="AB48" s="286">
        <f t="shared" si="32"/>
        <v>758.0628651916777</v>
      </c>
      <c r="AC48" s="286">
        <f t="shared" si="32"/>
        <v>777.00817866237776</v>
      </c>
      <c r="AD48" s="286">
        <f t="shared" si="32"/>
        <v>798.65003070597595</v>
      </c>
      <c r="AE48" s="286">
        <f t="shared" si="32"/>
        <v>814.6125237106171</v>
      </c>
      <c r="AF48" s="286">
        <f t="shared" si="32"/>
        <v>824.80999934172723</v>
      </c>
      <c r="AG48" s="286">
        <f t="shared" si="32"/>
        <v>823.56715603935299</v>
      </c>
      <c r="AH48" s="287">
        <f t="shared" si="32"/>
        <v>828.28560720737732</v>
      </c>
      <c r="AI48" s="292"/>
    </row>
    <row r="49" spans="1:35" s="252" customFormat="1">
      <c r="A49" s="10" t="s">
        <v>334</v>
      </c>
      <c r="B49" s="37"/>
      <c r="C49" s="330">
        <f>SUM(C43,C46:C48)</f>
        <v>70746</v>
      </c>
      <c r="D49" s="330">
        <f t="shared" ref="D49:M49" si="33">SUM(D43,D46:D48)+D30</f>
        <v>80751</v>
      </c>
      <c r="E49" s="330">
        <f t="shared" si="33"/>
        <v>86625.554610146079</v>
      </c>
      <c r="F49" s="330">
        <f t="shared" si="33"/>
        <v>74468.297308305671</v>
      </c>
      <c r="G49" s="330">
        <f t="shared" si="33"/>
        <v>85669.826734839327</v>
      </c>
      <c r="H49" s="286">
        <f>SUM(H43,H46:H48)+H30</f>
        <v>85759.423910434591</v>
      </c>
      <c r="I49" s="286">
        <f t="shared" si="33"/>
        <v>84217.606640667334</v>
      </c>
      <c r="J49" s="286">
        <f t="shared" si="33"/>
        <v>83652.232692376972</v>
      </c>
      <c r="K49" s="286">
        <f t="shared" si="33"/>
        <v>85173.132324070175</v>
      </c>
      <c r="L49" s="286">
        <f t="shared" si="33"/>
        <v>86117.924864303553</v>
      </c>
      <c r="M49" s="286">
        <f t="shared" si="33"/>
        <v>86817.180209456841</v>
      </c>
      <c r="N49" s="287">
        <f t="shared" ref="N49:AH49" si="34">SUM(N43,N46:N48)+N30</f>
        <v>87163.788533591098</v>
      </c>
      <c r="O49" s="286">
        <f t="shared" si="34"/>
        <v>87760.758390363102</v>
      </c>
      <c r="P49" s="286">
        <f t="shared" si="34"/>
        <v>88043.940903831768</v>
      </c>
      <c r="Q49" s="286">
        <f t="shared" si="34"/>
        <v>88137.011947216408</v>
      </c>
      <c r="R49" s="286">
        <f t="shared" si="34"/>
        <v>88484.647854531111</v>
      </c>
      <c r="S49" s="286">
        <f t="shared" si="34"/>
        <v>88657.000350939605</v>
      </c>
      <c r="T49" s="286">
        <f t="shared" si="34"/>
        <v>88676.236201463151</v>
      </c>
      <c r="U49" s="286">
        <f t="shared" si="34"/>
        <v>88747.887582435578</v>
      </c>
      <c r="V49" s="286">
        <f t="shared" si="34"/>
        <v>88748.593576980682</v>
      </c>
      <c r="W49" s="286">
        <f t="shared" si="34"/>
        <v>88738.552552004097</v>
      </c>
      <c r="X49" s="287">
        <f t="shared" si="34"/>
        <v>88385.269141001074</v>
      </c>
      <c r="Y49" s="286">
        <f t="shared" si="34"/>
        <v>88209.751844240775</v>
      </c>
      <c r="Z49" s="286">
        <f t="shared" si="34"/>
        <v>88150.003964011863</v>
      </c>
      <c r="AA49" s="286">
        <f t="shared" si="34"/>
        <v>88137.374668403354</v>
      </c>
      <c r="AB49" s="286">
        <f t="shared" si="34"/>
        <v>88194.255277722084</v>
      </c>
      <c r="AC49" s="286">
        <f t="shared" si="34"/>
        <v>88220.39808008977</v>
      </c>
      <c r="AD49" s="286">
        <f t="shared" si="34"/>
        <v>88234.769047779919</v>
      </c>
      <c r="AE49" s="286">
        <f t="shared" si="34"/>
        <v>88205.238635252317</v>
      </c>
      <c r="AF49" s="286">
        <f t="shared" si="34"/>
        <v>88167.078204150923</v>
      </c>
      <c r="AG49" s="286">
        <f t="shared" si="34"/>
        <v>88159.74403376336</v>
      </c>
      <c r="AH49" s="287">
        <f t="shared" si="34"/>
        <v>88169.595336313854</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2"/>
      <c r="D51" s="332">
        <f>D44/C44-1</f>
        <v>0.4401114666555852</v>
      </c>
      <c r="E51" s="332">
        <f t="shared" ref="E51:X51" si="36">E44/D44-1</f>
        <v>1.9329746944682094</v>
      </c>
      <c r="F51" s="332">
        <f t="shared" si="36"/>
        <v>0.18034516624838504</v>
      </c>
      <c r="G51" s="332">
        <f>G44/F44-1</f>
        <v>0.15044492852252755</v>
      </c>
      <c r="H51" s="284"/>
      <c r="I51" s="164">
        <f t="shared" ref="I51:N51" si="37">I44/H44-1</f>
        <v>0.23865041514205632</v>
      </c>
      <c r="J51" s="172">
        <f t="shared" si="37"/>
        <v>0.25278085351449087</v>
      </c>
      <c r="K51" s="172">
        <f t="shared" si="37"/>
        <v>0.28411674359644667</v>
      </c>
      <c r="L51" s="172">
        <f t="shared" si="37"/>
        <v>0.27515783250379577</v>
      </c>
      <c r="M51" s="172">
        <f t="shared" si="37"/>
        <v>0.2714075261288329</v>
      </c>
      <c r="N51" s="172">
        <f t="shared" si="37"/>
        <v>0.26621840735240698</v>
      </c>
      <c r="O51" s="172">
        <f t="shared" ref="O51:R51" si="38">O44/N44-1</f>
        <v>2.9614028304686846E-2</v>
      </c>
      <c r="P51" s="172">
        <f t="shared" si="38"/>
        <v>2.590891797121464E-2</v>
      </c>
      <c r="Q51" s="172">
        <f t="shared" si="38"/>
        <v>2.3688865796993808E-2</v>
      </c>
      <c r="R51" s="172">
        <f t="shared" si="38"/>
        <v>2.6637376311648753E-2</v>
      </c>
      <c r="S51" s="164">
        <f t="shared" si="36"/>
        <v>2.459465906628977E-2</v>
      </c>
      <c r="T51" s="164">
        <f t="shared" si="36"/>
        <v>2.2823675405804877E-2</v>
      </c>
      <c r="U51" s="164">
        <f t="shared" si="36"/>
        <v>2.3425726418239368E-2</v>
      </c>
      <c r="V51" s="164">
        <f t="shared" si="36"/>
        <v>2.2606256959613047E-2</v>
      </c>
      <c r="W51" s="164">
        <f t="shared" si="36"/>
        <v>2.2480725467758367E-2</v>
      </c>
      <c r="X51" s="185">
        <f t="shared" si="36"/>
        <v>1.8526605158814879E-2</v>
      </c>
      <c r="Y51" s="172">
        <f t="shared" ref="Y51:AH51" si="39">Y44/X44-1</f>
        <v>5.7654532087734189E-3</v>
      </c>
      <c r="Z51" s="172">
        <f t="shared" si="39"/>
        <v>7.0824856915125967E-3</v>
      </c>
      <c r="AA51" s="172">
        <f t="shared" si="39"/>
        <v>7.6196328967097493E-3</v>
      </c>
      <c r="AB51" s="172">
        <f t="shared" si="39"/>
        <v>8.4130301552727271E-3</v>
      </c>
      <c r="AC51" s="172">
        <f t="shared" si="39"/>
        <v>8.0610428662457601E-3</v>
      </c>
      <c r="AD51" s="172">
        <f t="shared" si="39"/>
        <v>7.9259738985431039E-3</v>
      </c>
      <c r="AE51" s="172">
        <f t="shared" si="39"/>
        <v>7.4244255100703871E-3</v>
      </c>
      <c r="AF51" s="172">
        <f t="shared" si="39"/>
        <v>7.325236487748743E-3</v>
      </c>
      <c r="AG51" s="172">
        <f t="shared" si="39"/>
        <v>7.6764402393632025E-3</v>
      </c>
      <c r="AH51" s="185">
        <f t="shared" si="39"/>
        <v>7.872073133575519E-3</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542</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2.326619172815424E-2</v>
      </c>
      <c r="D56" s="336">
        <f t="shared" si="40"/>
        <v>2.3900531889268804E-2</v>
      </c>
      <c r="E56" s="336">
        <f t="shared" si="40"/>
        <v>2.453487205038337E-2</v>
      </c>
      <c r="F56" s="336">
        <f t="shared" si="40"/>
        <v>2.516921221149793E-2</v>
      </c>
      <c r="G56" s="336">
        <f t="shared" si="40"/>
        <v>2.5803552372612497E-2</v>
      </c>
      <c r="H56" s="396">
        <f t="shared" si="40"/>
        <v>2.5834274083495777E-2</v>
      </c>
      <c r="I56" s="173">
        <f t="shared" si="40"/>
        <v>2.6569217319648886E-2</v>
      </c>
      <c r="J56" s="173">
        <f t="shared" si="40"/>
        <v>2.7304160555801996E-2</v>
      </c>
      <c r="K56" s="173">
        <f t="shared" si="40"/>
        <v>2.8039103791955108E-2</v>
      </c>
      <c r="L56" s="173">
        <f t="shared" si="40"/>
        <v>2.8774047028108218E-2</v>
      </c>
      <c r="M56" s="173">
        <f t="shared" si="40"/>
        <v>2.9508990264261327E-2</v>
      </c>
      <c r="N56" s="178">
        <f>N26</f>
        <v>3.0243933500414429E-2</v>
      </c>
      <c r="O56" s="116">
        <f t="shared" ref="O56:AH56" si="41">O31/O$49</f>
        <v>3.0398824988800525E-2</v>
      </c>
      <c r="P56" s="116">
        <f t="shared" si="41"/>
        <v>3.0553716477186625E-2</v>
      </c>
      <c r="Q56" s="116">
        <f t="shared" si="41"/>
        <v>3.0708607965572728E-2</v>
      </c>
      <c r="R56" s="116">
        <f t="shared" si="41"/>
        <v>3.0863499453958824E-2</v>
      </c>
      <c r="S56" s="116">
        <f t="shared" si="41"/>
        <v>3.1018390942344924E-2</v>
      </c>
      <c r="T56" s="116">
        <f t="shared" si="41"/>
        <v>3.1173282430731027E-2</v>
      </c>
      <c r="U56" s="116">
        <f t="shared" si="41"/>
        <v>3.1328173919117124E-2</v>
      </c>
      <c r="V56" s="116">
        <f t="shared" si="41"/>
        <v>3.1483065407503223E-2</v>
      </c>
      <c r="W56" s="116">
        <f t="shared" si="41"/>
        <v>3.1637956895889323E-2</v>
      </c>
      <c r="X56" s="178">
        <f t="shared" si="41"/>
        <v>3.1792848384275409E-2</v>
      </c>
      <c r="Y56" s="173">
        <f t="shared" si="41"/>
        <v>3.1979775434745811E-2</v>
      </c>
      <c r="Z56" s="173">
        <f t="shared" si="41"/>
        <v>3.216670248521622E-2</v>
      </c>
      <c r="AA56" s="173">
        <f t="shared" si="41"/>
        <v>3.2353629535686629E-2</v>
      </c>
      <c r="AB56" s="173">
        <f t="shared" si="41"/>
        <v>3.2540556586157038E-2</v>
      </c>
      <c r="AC56" s="173">
        <f t="shared" si="41"/>
        <v>3.2727483636627447E-2</v>
      </c>
      <c r="AD56" s="173">
        <f t="shared" si="41"/>
        <v>3.2914410687097856E-2</v>
      </c>
      <c r="AE56" s="173">
        <f t="shared" si="41"/>
        <v>3.3101337737568265E-2</v>
      </c>
      <c r="AF56" s="173">
        <f t="shared" si="41"/>
        <v>3.3288264788038674E-2</v>
      </c>
      <c r="AG56" s="173">
        <f t="shared" si="41"/>
        <v>3.3475191838509083E-2</v>
      </c>
      <c r="AH56" s="178">
        <f t="shared" si="41"/>
        <v>3.3662118888979464E-2</v>
      </c>
      <c r="AI56" s="127"/>
    </row>
    <row r="57" spans="1:35">
      <c r="A57" s="9" t="s">
        <v>59</v>
      </c>
      <c r="B57" s="37"/>
      <c r="C57" s="336">
        <f t="shared" ref="C57:M57" si="42">C32/C$49</f>
        <v>0</v>
      </c>
      <c r="D57" s="336">
        <f t="shared" si="42"/>
        <v>0</v>
      </c>
      <c r="E57" s="336">
        <f t="shared" si="42"/>
        <v>0</v>
      </c>
      <c r="F57" s="336">
        <f t="shared" si="42"/>
        <v>0</v>
      </c>
      <c r="G57" s="336">
        <f t="shared" si="42"/>
        <v>0</v>
      </c>
      <c r="H57" s="396">
        <f t="shared" si="42"/>
        <v>0</v>
      </c>
      <c r="I57" s="116">
        <f t="shared" si="42"/>
        <v>0</v>
      </c>
      <c r="J57" s="116">
        <f t="shared" si="42"/>
        <v>0</v>
      </c>
      <c r="K57" s="116">
        <f t="shared" si="42"/>
        <v>0</v>
      </c>
      <c r="L57" s="116">
        <f t="shared" si="42"/>
        <v>0</v>
      </c>
      <c r="M57" s="116">
        <f t="shared" si="42"/>
        <v>0</v>
      </c>
      <c r="N57" s="178">
        <f>N18</f>
        <v>0</v>
      </c>
      <c r="O57" s="116">
        <f t="shared" ref="O57:AH57" si="43">O32/O$49</f>
        <v>0</v>
      </c>
      <c r="P57" s="116">
        <f t="shared" si="43"/>
        <v>0</v>
      </c>
      <c r="Q57" s="116">
        <f t="shared" si="43"/>
        <v>0</v>
      </c>
      <c r="R57" s="116">
        <f t="shared" si="43"/>
        <v>0</v>
      </c>
      <c r="S57" s="116">
        <f t="shared" si="43"/>
        <v>0</v>
      </c>
      <c r="T57" s="116">
        <f t="shared" si="43"/>
        <v>0</v>
      </c>
      <c r="U57" s="116">
        <f t="shared" si="43"/>
        <v>0</v>
      </c>
      <c r="V57" s="116">
        <f t="shared" si="43"/>
        <v>0</v>
      </c>
      <c r="W57" s="116">
        <f>W32/W$49</f>
        <v>0</v>
      </c>
      <c r="X57" s="178">
        <f t="shared" si="43"/>
        <v>0</v>
      </c>
      <c r="Y57" s="173">
        <f t="shared" si="43"/>
        <v>0</v>
      </c>
      <c r="Z57" s="173">
        <f t="shared" si="43"/>
        <v>0</v>
      </c>
      <c r="AA57" s="173">
        <f t="shared" si="43"/>
        <v>0</v>
      </c>
      <c r="AB57" s="173">
        <f t="shared" si="43"/>
        <v>0</v>
      </c>
      <c r="AC57" s="173">
        <f t="shared" si="43"/>
        <v>0</v>
      </c>
      <c r="AD57" s="173">
        <f t="shared" si="43"/>
        <v>0</v>
      </c>
      <c r="AE57" s="173">
        <f t="shared" si="43"/>
        <v>0</v>
      </c>
      <c r="AF57" s="173">
        <f t="shared" si="43"/>
        <v>0</v>
      </c>
      <c r="AG57" s="173">
        <f t="shared" si="43"/>
        <v>0</v>
      </c>
      <c r="AH57" s="178">
        <f t="shared" si="43"/>
        <v>0</v>
      </c>
      <c r="AI57" s="127"/>
    </row>
    <row r="58" spans="1:35">
      <c r="A58" s="9" t="s">
        <v>121</v>
      </c>
      <c r="B58" s="37"/>
      <c r="C58" s="336">
        <f>C34/C$49</f>
        <v>1.4135074774545557E-5</v>
      </c>
      <c r="D58" s="336">
        <f t="shared" ref="D58:G59" si="44">C58*($N71)</f>
        <v>2.3737216431244847E-5</v>
      </c>
      <c r="E58" s="336">
        <f t="shared" si="44"/>
        <v>3.9862218834415431E-5</v>
      </c>
      <c r="F58" s="336">
        <f t="shared" si="44"/>
        <v>6.6941146827614488E-5</v>
      </c>
      <c r="G58" s="336">
        <f t="shared" si="44"/>
        <v>1.1241514571003823E-4</v>
      </c>
      <c r="H58" s="396">
        <f>H34/H$49</f>
        <v>3.0333200642961475E-6</v>
      </c>
      <c r="I58" s="116">
        <f t="shared" ref="I58:N59" si="45">H58*($N71)</f>
        <v>5.0938941618545537E-6</v>
      </c>
      <c r="J58" s="116">
        <f t="shared" si="45"/>
        <v>8.5542432655212843E-6</v>
      </c>
      <c r="K58" s="116">
        <f t="shared" si="45"/>
        <v>1.4365252893098021E-5</v>
      </c>
      <c r="L58" s="116">
        <f t="shared" si="45"/>
        <v>2.4123757564204099E-5</v>
      </c>
      <c r="M58" s="116">
        <f t="shared" si="45"/>
        <v>4.0511342427957042E-5</v>
      </c>
      <c r="N58" s="178">
        <f t="shared" si="45"/>
        <v>6.8031228590625175E-5</v>
      </c>
      <c r="O58" s="116">
        <f t="shared" ref="O58:W58" si="46">N58*$X71</f>
        <v>6.9566365683796792E-5</v>
      </c>
      <c r="P58" s="116">
        <f t="shared" si="46"/>
        <v>7.1136143425735933E-5</v>
      </c>
      <c r="Q58" s="116">
        <f t="shared" si="46"/>
        <v>7.2741343489006173E-5</v>
      </c>
      <c r="R58" s="116">
        <f t="shared" si="46"/>
        <v>7.4382765184755165E-5</v>
      </c>
      <c r="S58" s="116">
        <f t="shared" si="46"/>
        <v>7.6061225860732531E-5</v>
      </c>
      <c r="T58" s="116">
        <f t="shared" si="46"/>
        <v>7.7777561308289112E-5</v>
      </c>
      <c r="U58" s="116">
        <f t="shared" si="46"/>
        <v>7.9532626178560132E-5</v>
      </c>
      <c r="V58" s="116">
        <f t="shared" si="46"/>
        <v>8.1327294408039738E-5</v>
      </c>
      <c r="W58" s="116">
        <f t="shared" si="46"/>
        <v>8.3162459653758592E-5</v>
      </c>
      <c r="X58" s="178">
        <f t="shared" ref="X58:X66" si="47">X34/X$49</f>
        <v>8.5039035738281499E-5</v>
      </c>
      <c r="Y58" s="173">
        <f>X58*$AH71</f>
        <v>8.5696029916029968E-5</v>
      </c>
      <c r="Z58" s="173">
        <f t="shared" ref="Z58:AG58" si="48">Y58*$AH71</f>
        <v>8.6358099896271352E-5</v>
      </c>
      <c r="AA58" s="173">
        <f t="shared" si="48"/>
        <v>8.7025284893616403E-5</v>
      </c>
      <c r="AB58" s="173">
        <f t="shared" si="48"/>
        <v>8.7697624425639922E-5</v>
      </c>
      <c r="AC58" s="173">
        <f t="shared" si="48"/>
        <v>8.8375158315221413E-5</v>
      </c>
      <c r="AD58" s="173">
        <f t="shared" si="48"/>
        <v>8.9057926692903781E-5</v>
      </c>
      <c r="AE58" s="173">
        <f t="shared" si="48"/>
        <v>8.9745969999270294E-5</v>
      </c>
      <c r="AF58" s="173">
        <f t="shared" si="48"/>
        <v>9.0439328987339886E-5</v>
      </c>
      <c r="AG58" s="173">
        <f t="shared" si="48"/>
        <v>9.1138044724980982E-5</v>
      </c>
      <c r="AH58" s="178">
        <f t="shared" ref="AH58:AH66" si="49">AH34/AH$49</f>
        <v>9.1842158597344031E-5</v>
      </c>
      <c r="AI58" s="127"/>
    </row>
    <row r="59" spans="1:35">
      <c r="A59" s="9" t="s">
        <v>50</v>
      </c>
      <c r="B59" s="37"/>
      <c r="C59" s="336">
        <f t="shared" ref="C59:C65" si="50">C35/C$49</f>
        <v>0</v>
      </c>
      <c r="D59" s="336">
        <f t="shared" si="44"/>
        <v>0</v>
      </c>
      <c r="E59" s="336">
        <f t="shared" si="44"/>
        <v>0</v>
      </c>
      <c r="F59" s="336">
        <f t="shared" si="44"/>
        <v>0</v>
      </c>
      <c r="G59" s="336">
        <f t="shared" si="44"/>
        <v>0</v>
      </c>
      <c r="H59" s="396">
        <f>H35/H$49</f>
        <v>1.1660526090338246E-12</v>
      </c>
      <c r="I59" s="116">
        <f t="shared" si="45"/>
        <v>1.4673014370710346E-12</v>
      </c>
      <c r="J59" s="116">
        <f t="shared" si="45"/>
        <v>1.846377676745347E-12</v>
      </c>
      <c r="K59" s="116">
        <f t="shared" si="45"/>
        <v>2.3233879822190236E-12</v>
      </c>
      <c r="L59" s="116">
        <f t="shared" si="45"/>
        <v>2.9236335468673985E-12</v>
      </c>
      <c r="M59" s="116">
        <f t="shared" si="45"/>
        <v>3.6789521086378196E-12</v>
      </c>
      <c r="N59" s="178">
        <f t="shared" si="45"/>
        <v>4.6294066614992648E-12</v>
      </c>
      <c r="O59" s="116">
        <f t="shared" ref="O59:V59" si="51">N59*$X72</f>
        <v>4.733870067977016E-12</v>
      </c>
      <c r="P59" s="116">
        <f t="shared" si="51"/>
        <v>4.8406907102931504E-12</v>
      </c>
      <c r="Q59" s="116">
        <f t="shared" si="51"/>
        <v>4.9499217799047066E-12</v>
      </c>
      <c r="R59" s="116">
        <f t="shared" si="51"/>
        <v>5.0616176685436621E-12</v>
      </c>
      <c r="S59" s="116">
        <f t="shared" si="51"/>
        <v>5.1758339953013557E-12</v>
      </c>
      <c r="T59" s="116">
        <f t="shared" si="51"/>
        <v>5.2926276343240777E-12</v>
      </c>
      <c r="U59" s="116">
        <f t="shared" si="51"/>
        <v>5.4120567431336113E-12</v>
      </c>
      <c r="V59" s="116">
        <f t="shared" si="51"/>
        <v>5.5341807915868371E-12</v>
      </c>
      <c r="W59" s="116">
        <f>V59*$X72</f>
        <v>5.6590605914888126E-12</v>
      </c>
      <c r="X59" s="178">
        <f t="shared" si="47"/>
        <v>5.78675832687408E-12</v>
      </c>
      <c r="Y59" s="173">
        <f>X59*$AH72</f>
        <v>5.8314656368263542E-12</v>
      </c>
      <c r="Z59" s="173">
        <f t="shared" ref="Z59:AG59" si="52">Y59*$AH72</f>
        <v>5.8765183463011697E-12</v>
      </c>
      <c r="AA59" s="173">
        <f t="shared" si="52"/>
        <v>5.9219191237845156E-12</v>
      </c>
      <c r="AB59" s="173">
        <f t="shared" si="52"/>
        <v>5.9676706583785562E-12</v>
      </c>
      <c r="AC59" s="173">
        <f t="shared" si="52"/>
        <v>6.0137756599609087E-12</v>
      </c>
      <c r="AD59" s="173">
        <f t="shared" si="52"/>
        <v>6.0602368593451495E-12</v>
      </c>
      <c r="AE59" s="173">
        <f t="shared" si="52"/>
        <v>6.1070570084425619E-12</v>
      </c>
      <c r="AF59" s="173">
        <f t="shared" si="52"/>
        <v>6.1542388804251323E-12</v>
      </c>
      <c r="AG59" s="173">
        <f t="shared" si="52"/>
        <v>6.2017852698898067E-12</v>
      </c>
      <c r="AH59" s="178">
        <f t="shared" si="49"/>
        <v>6.249698993024008E-12</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0</v>
      </c>
      <c r="D61" s="336">
        <f t="shared" ref="D61:M61" si="56">C61*($N74)</f>
        <v>0</v>
      </c>
      <c r="E61" s="336">
        <f t="shared" si="56"/>
        <v>0</v>
      </c>
      <c r="F61" s="336">
        <f t="shared" si="56"/>
        <v>0</v>
      </c>
      <c r="G61" s="336">
        <f t="shared" si="56"/>
        <v>0</v>
      </c>
      <c r="H61" s="396">
        <f t="shared" si="53"/>
        <v>6.955497982623718E-7</v>
      </c>
      <c r="I61" s="116">
        <f t="shared" si="56"/>
        <v>8.7431447813257224E-7</v>
      </c>
      <c r="J61" s="116">
        <f t="shared" si="56"/>
        <v>1.0990238349316281E-6</v>
      </c>
      <c r="K61" s="116">
        <f t="shared" si="56"/>
        <v>1.3814862042861834E-6</v>
      </c>
      <c r="L61" s="116">
        <f t="shared" si="56"/>
        <v>1.7365448063751752E-6</v>
      </c>
      <c r="M61" s="116">
        <f t="shared" si="56"/>
        <v>2.1828577478316221E-6</v>
      </c>
      <c r="N61" s="178">
        <f>M61*($N74)</f>
        <v>2.7438784935325799E-6</v>
      </c>
      <c r="O61" s="116">
        <f t="shared" ref="O61:W61" si="57">N61*$X74</f>
        <v>2.8057946126714039E-6</v>
      </c>
      <c r="P61" s="116">
        <f t="shared" si="57"/>
        <v>2.8691078803422233E-6</v>
      </c>
      <c r="Q61" s="116">
        <f t="shared" si="57"/>
        <v>2.9338498234567314E-6</v>
      </c>
      <c r="R61" s="116">
        <f t="shared" si="57"/>
        <v>3.0000526803371383E-6</v>
      </c>
      <c r="S61" s="116">
        <f t="shared" si="57"/>
        <v>3.0677494167692821E-6</v>
      </c>
      <c r="T61" s="116">
        <f t="shared" si="57"/>
        <v>3.1369737424179752E-6</v>
      </c>
      <c r="U61" s="116">
        <f t="shared" si="57"/>
        <v>3.2077601276127711E-6</v>
      </c>
      <c r="V61" s="116">
        <f t="shared" si="57"/>
        <v>3.2801438205125031E-6</v>
      </c>
      <c r="W61" s="116">
        <f t="shared" si="57"/>
        <v>3.3541608646571433E-6</v>
      </c>
      <c r="X61" s="178">
        <f t="shared" si="47"/>
        <v>3.4298481169157267E-6</v>
      </c>
      <c r="Y61" s="173">
        <f t="shared" si="55"/>
        <v>3.4563464211804913E-6</v>
      </c>
      <c r="Z61" s="173">
        <f t="shared" si="55"/>
        <v>3.4830494459182837E-6</v>
      </c>
      <c r="AA61" s="173">
        <f t="shared" si="55"/>
        <v>3.5099587727575602E-6</v>
      </c>
      <c r="AB61" s="173">
        <f t="shared" si="55"/>
        <v>3.5370759955461154E-6</v>
      </c>
      <c r="AC61" s="173">
        <f t="shared" si="55"/>
        <v>3.5644027204454849E-6</v>
      </c>
      <c r="AD61" s="173">
        <f t="shared" si="55"/>
        <v>3.59194056602608E-6</v>
      </c>
      <c r="AE61" s="173">
        <f t="shared" si="55"/>
        <v>3.6196911633630549E-6</v>
      </c>
      <c r="AF61" s="173">
        <f t="shared" si="55"/>
        <v>3.6476561561329173E-6</v>
      </c>
      <c r="AG61" s="173">
        <f t="shared" si="55"/>
        <v>3.6758372007108824E-6</v>
      </c>
      <c r="AH61" s="178">
        <f t="shared" si="49"/>
        <v>3.7042359662689853E-6</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2.3321052180676489E-7</v>
      </c>
      <c r="I62" s="116">
        <f t="shared" si="58"/>
        <v>2.9346028741420686E-7</v>
      </c>
      <c r="J62" s="116">
        <f t="shared" si="58"/>
        <v>3.692755353490693E-7</v>
      </c>
      <c r="K62" s="116">
        <f t="shared" si="58"/>
        <v>4.6467759644380462E-7</v>
      </c>
      <c r="L62" s="116">
        <f t="shared" si="58"/>
        <v>5.8472670937347959E-7</v>
      </c>
      <c r="M62" s="116">
        <f t="shared" si="58"/>
        <v>7.3579042172756371E-7</v>
      </c>
      <c r="N62" s="178">
        <f t="shared" si="58"/>
        <v>9.2588133229985278E-7</v>
      </c>
      <c r="O62" s="116">
        <f t="shared" ref="O62:W62" si="59">N62*$X75</f>
        <v>9.4677401359540302E-7</v>
      </c>
      <c r="P62" s="116">
        <f t="shared" si="59"/>
        <v>9.681381420586299E-7</v>
      </c>
      <c r="Q62" s="116">
        <f t="shared" si="59"/>
        <v>9.8998435598094118E-7</v>
      </c>
      <c r="R62" s="116">
        <f t="shared" si="59"/>
        <v>1.0123235337087323E-6</v>
      </c>
      <c r="S62" s="116">
        <f t="shared" si="59"/>
        <v>1.0351667990602711E-6</v>
      </c>
      <c r="T62" s="116">
        <f t="shared" si="59"/>
        <v>1.0585255268648155E-6</v>
      </c>
      <c r="U62" s="116">
        <f t="shared" si="59"/>
        <v>1.0824113486267223E-6</v>
      </c>
      <c r="V62" s="116">
        <f t="shared" si="59"/>
        <v>1.1068361583173674E-6</v>
      </c>
      <c r="W62" s="116">
        <f t="shared" si="59"/>
        <v>1.1318121182977624E-6</v>
      </c>
      <c r="X62" s="178">
        <f t="shared" si="47"/>
        <v>1.1573516653748161E-6</v>
      </c>
      <c r="Y62" s="173">
        <f t="shared" si="55"/>
        <v>1.1662931273652706E-6</v>
      </c>
      <c r="Z62" s="173">
        <f t="shared" si="55"/>
        <v>1.1753036692602336E-6</v>
      </c>
      <c r="AA62" s="173">
        <f t="shared" si="55"/>
        <v>1.1843838247569025E-6</v>
      </c>
      <c r="AB62" s="173">
        <f t="shared" si="55"/>
        <v>1.1935341316757103E-6</v>
      </c>
      <c r="AC62" s="173">
        <f t="shared" si="55"/>
        <v>1.2027551319921804E-6</v>
      </c>
      <c r="AD62" s="173">
        <f t="shared" si="55"/>
        <v>1.2120473718690283E-6</v>
      </c>
      <c r="AE62" s="173">
        <f t="shared" si="55"/>
        <v>1.2214114016885105E-6</v>
      </c>
      <c r="AF62" s="173">
        <f t="shared" si="55"/>
        <v>1.2308477760850243E-6</v>
      </c>
      <c r="AG62" s="173">
        <f t="shared" si="55"/>
        <v>1.2403570539779588E-6</v>
      </c>
      <c r="AH62" s="178">
        <f t="shared" si="49"/>
        <v>1.2499397986048015E-6</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1.1660526090338244E-7</v>
      </c>
      <c r="I63" s="116">
        <f t="shared" si="60"/>
        <v>1.4673014370710343E-7</v>
      </c>
      <c r="J63" s="116">
        <f t="shared" si="60"/>
        <v>1.8463776767453465E-7</v>
      </c>
      <c r="K63" s="116">
        <f t="shared" si="60"/>
        <v>2.3233879822190231E-7</v>
      </c>
      <c r="L63" s="116">
        <f t="shared" si="60"/>
        <v>2.9236335468673979E-7</v>
      </c>
      <c r="M63" s="116">
        <f t="shared" si="60"/>
        <v>3.6789521086378185E-7</v>
      </c>
      <c r="N63" s="178">
        <f t="shared" si="60"/>
        <v>4.6294066614992639E-7</v>
      </c>
      <c r="O63" s="116">
        <f t="shared" ref="O63:W63" si="61">N63*$X76</f>
        <v>4.7338700679770151E-7</v>
      </c>
      <c r="P63" s="116">
        <f t="shared" si="61"/>
        <v>4.8406907102931495E-7</v>
      </c>
      <c r="Q63" s="116">
        <f t="shared" si="61"/>
        <v>4.9499217799047059E-7</v>
      </c>
      <c r="R63" s="116">
        <f t="shared" si="61"/>
        <v>5.0616176685436616E-7</v>
      </c>
      <c r="S63" s="116">
        <f t="shared" si="61"/>
        <v>5.1758339953013553E-7</v>
      </c>
      <c r="T63" s="116">
        <f t="shared" si="61"/>
        <v>5.2926276343240776E-7</v>
      </c>
      <c r="U63" s="116">
        <f t="shared" si="61"/>
        <v>5.4120567431336115E-7</v>
      </c>
      <c r="V63" s="116">
        <f t="shared" si="61"/>
        <v>5.5341807915868369E-7</v>
      </c>
      <c r="W63" s="116">
        <f t="shared" si="61"/>
        <v>5.659060591488812E-7</v>
      </c>
      <c r="X63" s="178">
        <f t="shared" si="47"/>
        <v>5.7867583268740807E-7</v>
      </c>
      <c r="Y63" s="173">
        <f t="shared" si="55"/>
        <v>5.8314656368263529E-7</v>
      </c>
      <c r="Z63" s="173">
        <f t="shared" si="55"/>
        <v>5.8765183463011679E-7</v>
      </c>
      <c r="AA63" s="173">
        <f t="shared" si="55"/>
        <v>5.9219191237845126E-7</v>
      </c>
      <c r="AB63" s="173">
        <f t="shared" si="55"/>
        <v>5.9676706583785514E-7</v>
      </c>
      <c r="AC63" s="173">
        <f t="shared" si="55"/>
        <v>6.0137756599609022E-7</v>
      </c>
      <c r="AD63" s="173">
        <f t="shared" si="55"/>
        <v>6.0602368593451414E-7</v>
      </c>
      <c r="AE63" s="173">
        <f t="shared" si="55"/>
        <v>6.1070570084425527E-7</v>
      </c>
      <c r="AF63" s="173">
        <f t="shared" si="55"/>
        <v>6.1542388804251217E-7</v>
      </c>
      <c r="AG63" s="173">
        <f t="shared" si="55"/>
        <v>6.201785269889794E-7</v>
      </c>
      <c r="AH63" s="178">
        <f t="shared" si="49"/>
        <v>6.2496989930240074E-7</v>
      </c>
      <c r="AI63" s="127"/>
    </row>
    <row r="64" spans="1:35">
      <c r="A64" s="9" t="s">
        <v>344</v>
      </c>
      <c r="B64" s="37"/>
      <c r="C64" s="336">
        <f t="shared" si="50"/>
        <v>1.4135074774545558E-7</v>
      </c>
      <c r="D64" s="336">
        <f t="shared" ref="D64:N64" si="62">C64*($N77)</f>
        <v>1.7786860874984409E-7</v>
      </c>
      <c r="E64" s="336">
        <f t="shared" si="62"/>
        <v>2.2382083210183973E-7</v>
      </c>
      <c r="F64" s="336">
        <f t="shared" si="62"/>
        <v>2.8164477832743964E-7</v>
      </c>
      <c r="G64" s="336">
        <f t="shared" si="62"/>
        <v>3.5440749823957341E-7</v>
      </c>
      <c r="H64" s="396">
        <f t="shared" si="53"/>
        <v>1.1660526090338244E-7</v>
      </c>
      <c r="I64" s="116">
        <f t="shared" si="62"/>
        <v>1.4673014370710343E-7</v>
      </c>
      <c r="J64" s="116">
        <f t="shared" si="62"/>
        <v>1.8463776767453465E-7</v>
      </c>
      <c r="K64" s="116">
        <f t="shared" si="62"/>
        <v>2.3233879822190231E-7</v>
      </c>
      <c r="L64" s="116">
        <f t="shared" si="62"/>
        <v>2.9236335468673979E-7</v>
      </c>
      <c r="M64" s="116">
        <f t="shared" si="62"/>
        <v>3.6789521086378185E-7</v>
      </c>
      <c r="N64" s="178">
        <f t="shared" si="62"/>
        <v>4.6294066614992639E-7</v>
      </c>
      <c r="O64" s="116">
        <f t="shared" ref="O64:W64" si="63">N64*$X77</f>
        <v>4.7338700679770151E-7</v>
      </c>
      <c r="P64" s="116">
        <f t="shared" si="63"/>
        <v>4.8406907102931495E-7</v>
      </c>
      <c r="Q64" s="116">
        <f t="shared" si="63"/>
        <v>4.9499217799047059E-7</v>
      </c>
      <c r="R64" s="116">
        <f t="shared" si="63"/>
        <v>5.0616176685436616E-7</v>
      </c>
      <c r="S64" s="116">
        <f t="shared" si="63"/>
        <v>5.1758339953013553E-7</v>
      </c>
      <c r="T64" s="116">
        <f t="shared" si="63"/>
        <v>5.2926276343240776E-7</v>
      </c>
      <c r="U64" s="116">
        <f t="shared" si="63"/>
        <v>5.4120567431336115E-7</v>
      </c>
      <c r="V64" s="116">
        <f t="shared" si="63"/>
        <v>5.5341807915868369E-7</v>
      </c>
      <c r="W64" s="116">
        <f t="shared" si="63"/>
        <v>5.659060591488812E-7</v>
      </c>
      <c r="X64" s="178">
        <f t="shared" si="47"/>
        <v>5.7867583268740807E-7</v>
      </c>
      <c r="Y64" s="173">
        <f t="shared" si="55"/>
        <v>5.8314656368263529E-7</v>
      </c>
      <c r="Z64" s="173">
        <f t="shared" si="55"/>
        <v>5.8765183463011679E-7</v>
      </c>
      <c r="AA64" s="173">
        <f t="shared" si="55"/>
        <v>5.9219191237845126E-7</v>
      </c>
      <c r="AB64" s="173">
        <f t="shared" si="55"/>
        <v>5.9676706583785514E-7</v>
      </c>
      <c r="AC64" s="173">
        <f t="shared" si="55"/>
        <v>6.0137756599609022E-7</v>
      </c>
      <c r="AD64" s="173">
        <f t="shared" si="55"/>
        <v>6.0602368593451414E-7</v>
      </c>
      <c r="AE64" s="173">
        <f t="shared" si="55"/>
        <v>6.1070570084425527E-7</v>
      </c>
      <c r="AF64" s="173">
        <f t="shared" si="55"/>
        <v>6.1542388804251217E-7</v>
      </c>
      <c r="AG64" s="173">
        <f t="shared" si="55"/>
        <v>6.201785269889794E-7</v>
      </c>
      <c r="AH64" s="178">
        <f t="shared" si="49"/>
        <v>6.2496989930240074E-7</v>
      </c>
      <c r="AI64" s="127"/>
    </row>
    <row r="65" spans="1:35">
      <c r="A65" s="9" t="s">
        <v>120</v>
      </c>
      <c r="B65" s="37"/>
      <c r="C65" s="336">
        <f t="shared" si="50"/>
        <v>0</v>
      </c>
      <c r="D65" s="336">
        <v>0</v>
      </c>
      <c r="E65" s="336">
        <v>0</v>
      </c>
      <c r="F65" s="336">
        <v>0</v>
      </c>
      <c r="G65" s="336">
        <v>0</v>
      </c>
      <c r="H65" s="396">
        <f t="shared" si="53"/>
        <v>1.1660526090338245E-5</v>
      </c>
      <c r="I65" s="173">
        <v>0</v>
      </c>
      <c r="J65" s="173">
        <v>0</v>
      </c>
      <c r="K65" s="173">
        <v>0</v>
      </c>
      <c r="L65" s="173">
        <v>0</v>
      </c>
      <c r="M65" s="173">
        <v>0</v>
      </c>
      <c r="N65" s="178">
        <v>0</v>
      </c>
      <c r="O65" s="116">
        <f t="shared" ref="O65:AG65" si="64">O41/O$49</f>
        <v>9.1156915080607025E-5</v>
      </c>
      <c r="P65" s="116">
        <f t="shared" si="64"/>
        <v>1.0222168507689221E-4</v>
      </c>
      <c r="Q65" s="116">
        <f t="shared" si="64"/>
        <v>1.134597120899539E-4</v>
      </c>
      <c r="R65" s="116">
        <f t="shared" si="64"/>
        <v>1.2431535036545567E-4</v>
      </c>
      <c r="S65" s="116">
        <f t="shared" si="64"/>
        <v>1.3535310187012009E-4</v>
      </c>
      <c r="T65" s="116">
        <f t="shared" si="64"/>
        <v>1.466007191652266E-4</v>
      </c>
      <c r="U65" s="116">
        <f t="shared" si="64"/>
        <v>1.5775023362664005E-4</v>
      </c>
      <c r="V65" s="116">
        <f t="shared" si="64"/>
        <v>1.6901676291905375E-4</v>
      </c>
      <c r="W65" s="116">
        <f t="shared" si="64"/>
        <v>1.8030494683382855E-4</v>
      </c>
      <c r="X65" s="178">
        <f t="shared" si="47"/>
        <v>1.9233974354798751E-4</v>
      </c>
      <c r="Y65" s="173">
        <f t="shared" si="64"/>
        <v>2.0405907083588764E-4</v>
      </c>
      <c r="Z65" s="173">
        <f t="shared" si="64"/>
        <v>2.1554168060794351E-4</v>
      </c>
      <c r="AA65" s="173">
        <f t="shared" si="64"/>
        <v>2.2691849031407404E-4</v>
      </c>
      <c r="AB65" s="173">
        <f t="shared" si="64"/>
        <v>2.3811074694005168E-4</v>
      </c>
      <c r="AC65" s="173">
        <f t="shared" si="64"/>
        <v>2.4937543333263559E-4</v>
      </c>
      <c r="AD65" s="173">
        <f t="shared" si="64"/>
        <v>2.6066821784896714E-4</v>
      </c>
      <c r="AE65" s="173">
        <f t="shared" si="64"/>
        <v>2.7209268260409313E-4</v>
      </c>
      <c r="AF65" s="173">
        <f t="shared" si="64"/>
        <v>2.8355255169182863E-4</v>
      </c>
      <c r="AG65" s="173">
        <f t="shared" si="64"/>
        <v>2.9491918658523482E-4</v>
      </c>
      <c r="AH65" s="178">
        <f t="shared" si="49"/>
        <v>3.0622801314910515E-4</v>
      </c>
      <c r="AI65" s="127"/>
    </row>
    <row r="66" spans="1:35">
      <c r="A66" s="9" t="s">
        <v>53</v>
      </c>
      <c r="B66" s="37"/>
      <c r="C66" s="336">
        <f>C42/C$49</f>
        <v>1.0488225482712804E-2</v>
      </c>
      <c r="D66" s="336">
        <f t="shared" ref="D66:N66" si="65">C66*($N79)</f>
        <v>1.3226908073060418E-2</v>
      </c>
      <c r="E66" s="336">
        <f t="shared" si="65"/>
        <v>1.6680714717809381E-2</v>
      </c>
      <c r="F66" s="336">
        <f t="shared" si="65"/>
        <v>2.1036378415878895E-2</v>
      </c>
      <c r="G66" s="336">
        <f t="shared" si="65"/>
        <v>2.6529391836165355E-2</v>
      </c>
      <c r="H66" s="396">
        <f t="shared" si="53"/>
        <v>4.9697477031226039E-2</v>
      </c>
      <c r="I66" s="116">
        <f t="shared" si="65"/>
        <v>6.267446874006706E-2</v>
      </c>
      <c r="J66" s="116">
        <f t="shared" si="65"/>
        <v>7.9040009000487826E-2</v>
      </c>
      <c r="K66" s="116">
        <f t="shared" si="65"/>
        <v>9.9678914690239026E-2</v>
      </c>
      <c r="L66" s="116">
        <f t="shared" si="65"/>
        <v>0.12570704582994957</v>
      </c>
      <c r="M66" s="116">
        <f t="shared" si="65"/>
        <v>0.15853163550586355</v>
      </c>
      <c r="N66" s="178">
        <f t="shared" si="65"/>
        <v>0.19992737312562187</v>
      </c>
      <c r="O66" s="116">
        <f t="shared" ref="O66:W66" si="66">N66*$X79</f>
        <v>0.20443877079965708</v>
      </c>
      <c r="P66" s="116">
        <f t="shared" si="66"/>
        <v>0.20905196898582379</v>
      </c>
      <c r="Q66" s="116">
        <f t="shared" si="66"/>
        <v>0.21376926483126327</v>
      </c>
      <c r="R66" s="116">
        <f t="shared" si="66"/>
        <v>0.21859300731866149</v>
      </c>
      <c r="S66" s="116">
        <f t="shared" si="66"/>
        <v>0.22352559843592751</v>
      </c>
      <c r="T66" s="116">
        <f t="shared" si="66"/>
        <v>0.22856949437226609</v>
      </c>
      <c r="U66" s="116">
        <f t="shared" si="66"/>
        <v>0.23372720674123981</v>
      </c>
      <c r="V66" s="116">
        <f t="shared" si="66"/>
        <v>0.23900130383142984</v>
      </c>
      <c r="W66" s="116">
        <f t="shared" si="66"/>
        <v>0.24439441188531799</v>
      </c>
      <c r="X66" s="178">
        <f t="shared" si="47"/>
        <v>0.24990921640702732</v>
      </c>
      <c r="Y66" s="173">
        <f t="shared" si="55"/>
        <v>0.25183996384224533</v>
      </c>
      <c r="Z66" s="173">
        <f t="shared" si="55"/>
        <v>0.25378562783681313</v>
      </c>
      <c r="AA66" s="173">
        <f t="shared" si="55"/>
        <v>0.25574632363301403</v>
      </c>
      <c r="AB66" s="173">
        <f t="shared" si="55"/>
        <v>0.25772216736346953</v>
      </c>
      <c r="AC66" s="173">
        <f t="shared" si="55"/>
        <v>0.25971327605801808</v>
      </c>
      <c r="AD66" s="173">
        <f t="shared" si="55"/>
        <v>0.26171976765064658</v>
      </c>
      <c r="AE66" s="173">
        <f t="shared" si="55"/>
        <v>0.26374176098647589</v>
      </c>
      <c r="AF66" s="173">
        <f t="shared" si="55"/>
        <v>0.2657793758287999</v>
      </c>
      <c r="AG66" s="173">
        <f t="shared" si="55"/>
        <v>0.26783273286617915</v>
      </c>
      <c r="AH66" s="178">
        <f t="shared" si="49"/>
        <v>0.26990195371958953</v>
      </c>
      <c r="AI66" s="127"/>
    </row>
    <row r="67" spans="1:35" s="1" customFormat="1">
      <c r="A67" s="11" t="s">
        <v>541</v>
      </c>
      <c r="B67" s="36"/>
      <c r="C67" s="340">
        <f t="shared" ref="C67:AG67" si="67">SUM(C58:C66)</f>
        <v>1.0502501908235096E-2</v>
      </c>
      <c r="D67" s="340">
        <f t="shared" si="67"/>
        <v>1.3250823158100413E-2</v>
      </c>
      <c r="E67" s="340">
        <f t="shared" si="67"/>
        <v>1.6720800757475899E-2</v>
      </c>
      <c r="F67" s="340">
        <f t="shared" si="67"/>
        <v>2.1103601207484838E-2</v>
      </c>
      <c r="G67" s="340">
        <f t="shared" si="67"/>
        <v>2.6642161389373632E-2</v>
      </c>
      <c r="H67" s="403">
        <f t="shared" si="67"/>
        <v>4.97133328493886E-2</v>
      </c>
      <c r="I67" s="85">
        <f t="shared" si="67"/>
        <v>6.2681023870749183E-2</v>
      </c>
      <c r="J67" s="85">
        <f t="shared" si="67"/>
        <v>7.9050400820505351E-2</v>
      </c>
      <c r="K67" s="85">
        <f t="shared" si="67"/>
        <v>9.9695590786852681E-2</v>
      </c>
      <c r="L67" s="85">
        <f t="shared" si="67"/>
        <v>0.12573407558866254</v>
      </c>
      <c r="M67" s="85">
        <f t="shared" si="67"/>
        <v>0.15857580129056176</v>
      </c>
      <c r="N67" s="183">
        <f>SUM(N58:N66)</f>
        <v>0.20000000000000004</v>
      </c>
      <c r="O67" s="85">
        <f t="shared" si="67"/>
        <v>0.20460419342779521</v>
      </c>
      <c r="P67" s="85">
        <f t="shared" si="67"/>
        <v>0.20923013220333156</v>
      </c>
      <c r="Q67" s="85">
        <f t="shared" si="67"/>
        <v>0.21396037971032758</v>
      </c>
      <c r="R67" s="85">
        <f t="shared" si="67"/>
        <v>0.21879673013902107</v>
      </c>
      <c r="S67" s="85">
        <f t="shared" si="67"/>
        <v>0.22374215085184909</v>
      </c>
      <c r="T67" s="85">
        <f t="shared" si="67"/>
        <v>0.22879912668282837</v>
      </c>
      <c r="U67" s="85">
        <f t="shared" si="67"/>
        <v>0.23396986218928192</v>
      </c>
      <c r="V67" s="85">
        <f t="shared" si="67"/>
        <v>0.23925714171042825</v>
      </c>
      <c r="W67" s="85">
        <f t="shared" si="67"/>
        <v>0.24466349708256588</v>
      </c>
      <c r="X67" s="183">
        <f t="shared" si="67"/>
        <v>0.25019233974354799</v>
      </c>
      <c r="Y67" s="85">
        <f t="shared" si="67"/>
        <v>0.25213550788150463</v>
      </c>
      <c r="Z67" s="85">
        <f t="shared" si="67"/>
        <v>0.25409336127997828</v>
      </c>
      <c r="AA67" s="85">
        <f t="shared" si="67"/>
        <v>0.25606614614056589</v>
      </c>
      <c r="AB67" s="85">
        <f t="shared" si="67"/>
        <v>0.25805389988506178</v>
      </c>
      <c r="AC67" s="85">
        <f t="shared" si="67"/>
        <v>0.26005699656866416</v>
      </c>
      <c r="AD67" s="85">
        <f t="shared" si="67"/>
        <v>0.26207550983655847</v>
      </c>
      <c r="AE67" s="85">
        <f t="shared" si="67"/>
        <v>0.26410966215915305</v>
      </c>
      <c r="AF67" s="85">
        <f t="shared" si="67"/>
        <v>0.26615947706734161</v>
      </c>
      <c r="AG67" s="85">
        <f t="shared" si="67"/>
        <v>0.2682249466549998</v>
      </c>
      <c r="AH67" s="183">
        <f>SUM(AH58:AH66)</f>
        <v>0.27030622801314913</v>
      </c>
      <c r="AI67" s="196"/>
    </row>
    <row r="68" spans="1:35" s="252" customFormat="1">
      <c r="A68" s="10" t="s">
        <v>549</v>
      </c>
      <c r="B68" s="37"/>
      <c r="C68" s="332"/>
      <c r="D68" s="332">
        <f>D67/C67-1</f>
        <v>0.2616825280184274</v>
      </c>
      <c r="E68" s="332">
        <f t="shared" ref="E68:W68" si="68">E67/D67-1</f>
        <v>0.26186883320182575</v>
      </c>
      <c r="F68" s="332">
        <f t="shared" si="68"/>
        <v>0.2621166601754632</v>
      </c>
      <c r="G68" s="332">
        <f t="shared" si="68"/>
        <v>0.26244621130939616</v>
      </c>
      <c r="H68" s="284"/>
      <c r="I68" s="284">
        <f t="shared" si="68"/>
        <v>0.26084935927847508</v>
      </c>
      <c r="J68" s="284">
        <f t="shared" si="68"/>
        <v>0.26115363053913243</v>
      </c>
      <c r="K68" s="284">
        <f t="shared" si="68"/>
        <v>0.26116489925490738</v>
      </c>
      <c r="L68" s="284">
        <f t="shared" si="68"/>
        <v>0.26117990370787458</v>
      </c>
      <c r="M68" s="284">
        <f t="shared" si="68"/>
        <v>0.26119988195833654</v>
      </c>
      <c r="N68" s="283">
        <f t="shared" si="68"/>
        <v>0.26122648205028365</v>
      </c>
      <c r="O68" s="284">
        <f t="shared" si="68"/>
        <v>2.3020967138975834E-2</v>
      </c>
      <c r="P68" s="284">
        <f t="shared" si="68"/>
        <v>2.2609208042301709E-2</v>
      </c>
      <c r="Q68" s="284">
        <f t="shared" si="68"/>
        <v>2.2607869417198057E-2</v>
      </c>
      <c r="R68" s="284">
        <f t="shared" si="68"/>
        <v>2.2603953289114687E-2</v>
      </c>
      <c r="S68" s="284">
        <f t="shared" si="68"/>
        <v>2.2602809053342554E-2</v>
      </c>
      <c r="T68" s="284">
        <f t="shared" si="68"/>
        <v>2.2601802171499541E-2</v>
      </c>
      <c r="U68" s="284">
        <f t="shared" si="68"/>
        <v>2.2599454733153168E-2</v>
      </c>
      <c r="V68" s="284">
        <f t="shared" si="68"/>
        <v>2.2598122132793774E-2</v>
      </c>
      <c r="W68" s="284">
        <f t="shared" si="68"/>
        <v>2.2596422131803795E-2</v>
      </c>
      <c r="X68" s="284">
        <f>X67/W67-1</f>
        <v>2.2597742315096259E-2</v>
      </c>
      <c r="Y68" s="289">
        <f t="shared" ref="Y68:AG68" si="69">Y67/X67-1</f>
        <v>7.7666971736560786E-3</v>
      </c>
      <c r="Z68" s="289">
        <f t="shared" si="69"/>
        <v>7.7650840015510703E-3</v>
      </c>
      <c r="AA68" s="289">
        <f t="shared" si="69"/>
        <v>7.7640157564520251E-3</v>
      </c>
      <c r="AB68" s="289">
        <f t="shared" si="69"/>
        <v>7.7626573229432339E-3</v>
      </c>
      <c r="AC68" s="289">
        <f t="shared" si="69"/>
        <v>7.7623189748132759E-3</v>
      </c>
      <c r="AD68" s="289">
        <f t="shared" si="69"/>
        <v>7.7618110434547471E-3</v>
      </c>
      <c r="AE68" s="289">
        <f t="shared" si="69"/>
        <v>7.7617031971555228E-3</v>
      </c>
      <c r="AF68" s="289">
        <f t="shared" si="69"/>
        <v>7.7612264974742384E-3</v>
      </c>
      <c r="AG68" s="289">
        <f t="shared" si="69"/>
        <v>7.7602706858925785E-3</v>
      </c>
      <c r="AH68" s="283">
        <f>AH67/AG67-1</f>
        <v>7.7594622875489794E-3</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546</v>
      </c>
      <c r="B70" s="37"/>
      <c r="C70" s="332"/>
      <c r="D70" s="332"/>
      <c r="E70" s="332"/>
      <c r="F70" s="332"/>
      <c r="G70" s="332"/>
      <c r="H70" s="284"/>
      <c r="I70" s="164"/>
      <c r="J70" s="164"/>
      <c r="K70" s="164"/>
      <c r="L70" s="164"/>
      <c r="M70" s="164"/>
      <c r="N70" s="199" t="s">
        <v>712</v>
      </c>
      <c r="O70" s="164"/>
      <c r="P70" s="164"/>
      <c r="Q70" s="164"/>
      <c r="R70" s="164"/>
      <c r="S70" s="164"/>
      <c r="T70" s="164"/>
      <c r="U70" s="164"/>
      <c r="V70" s="164"/>
      <c r="W70" s="164"/>
      <c r="X70" s="199" t="s">
        <v>547</v>
      </c>
      <c r="Y70" s="20"/>
      <c r="Z70" s="20"/>
      <c r="AA70" s="20"/>
      <c r="AB70" s="20"/>
      <c r="AC70" s="20"/>
      <c r="AD70" s="20"/>
      <c r="AE70" s="20"/>
      <c r="AF70" s="20"/>
      <c r="AG70" s="20"/>
      <c r="AH70" s="279" t="s">
        <v>709</v>
      </c>
      <c r="AI70" s="127"/>
    </row>
    <row r="71" spans="1:35">
      <c r="A71" s="9" t="s">
        <v>121</v>
      </c>
      <c r="B71" s="37"/>
      <c r="C71" s="332"/>
      <c r="D71" s="332"/>
      <c r="E71" s="332"/>
      <c r="F71" s="332"/>
      <c r="G71" s="332"/>
      <c r="H71" s="284"/>
      <c r="I71" s="164"/>
      <c r="J71" s="164"/>
      <c r="K71" s="395"/>
      <c r="L71" s="395"/>
      <c r="M71" s="164"/>
      <c r="N71" s="186">
        <f>(N86/H86)^(1/6)</f>
        <v>1.679313113644848</v>
      </c>
      <c r="O71" s="164"/>
      <c r="P71" s="164"/>
      <c r="Q71" s="164"/>
      <c r="R71" s="164"/>
      <c r="S71" s="164"/>
      <c r="T71" s="164"/>
      <c r="U71" s="164"/>
      <c r="V71" s="164"/>
      <c r="W71" s="164"/>
      <c r="X71" s="186">
        <f>(X86/N86)^(1/10)</f>
        <v>1.0225651825635729</v>
      </c>
      <c r="Y71" s="20"/>
      <c r="Z71" s="20"/>
      <c r="AA71" s="20"/>
      <c r="AB71" s="20"/>
      <c r="AC71" s="20"/>
      <c r="AD71" s="20"/>
      <c r="AE71" s="20"/>
      <c r="AF71" s="20"/>
      <c r="AG71" s="20"/>
      <c r="AH71" s="186">
        <f>(AH86/X86)^(1/10)</f>
        <v>1.0077257952426748</v>
      </c>
      <c r="AI71" s="127"/>
    </row>
    <row r="72" spans="1:35">
      <c r="A72" s="9" t="s">
        <v>50</v>
      </c>
      <c r="B72" s="37"/>
      <c r="C72" s="332"/>
      <c r="D72" s="332"/>
      <c r="E72" s="332"/>
      <c r="F72" s="332"/>
      <c r="G72" s="332"/>
      <c r="H72" s="284"/>
      <c r="I72" s="164"/>
      <c r="J72" s="164"/>
      <c r="K72" s="395"/>
      <c r="L72" s="395"/>
      <c r="M72" s="164"/>
      <c r="N72" s="186">
        <f>(N87/H87)^(1/6)</f>
        <v>1.258349259461647</v>
      </c>
      <c r="O72" s="164"/>
      <c r="P72" s="164"/>
      <c r="Q72" s="164"/>
      <c r="R72" s="164"/>
      <c r="S72" s="164"/>
      <c r="T72" s="164"/>
      <c r="U72" s="164"/>
      <c r="V72" s="164"/>
      <c r="W72" s="164"/>
      <c r="X72" s="186">
        <f>(X87/N87)^(1/10)</f>
        <v>1.0225651825635729</v>
      </c>
      <c r="Y72" s="20"/>
      <c r="Z72" s="20"/>
      <c r="AA72" s="20"/>
      <c r="AB72" s="20"/>
      <c r="AC72" s="20"/>
      <c r="AD72" s="20"/>
      <c r="AE72" s="20"/>
      <c r="AF72" s="20"/>
      <c r="AG72" s="20"/>
      <c r="AH72" s="186">
        <f>(AH87/X87)^(1/10)</f>
        <v>1.007725795242675</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1.2570120504912687</v>
      </c>
      <c r="O74" s="164"/>
      <c r="P74" s="164"/>
      <c r="Q74" s="164"/>
      <c r="R74" s="164"/>
      <c r="S74" s="164"/>
      <c r="T74" s="164"/>
      <c r="U74" s="164"/>
      <c r="V74" s="164"/>
      <c r="W74" s="164"/>
      <c r="X74" s="186">
        <f>(X89/N89)^(1/10)</f>
        <v>1.0225651825635729</v>
      </c>
      <c r="AH74" s="186">
        <f>(AH89/X89)^(1/10)</f>
        <v>1.0077257952426748</v>
      </c>
      <c r="AI74" s="127"/>
    </row>
    <row r="75" spans="1:35">
      <c r="A75" s="9" t="s">
        <v>347</v>
      </c>
      <c r="B75" s="37"/>
      <c r="C75" s="332"/>
      <c r="D75" s="332"/>
      <c r="E75" s="332"/>
      <c r="F75" s="332"/>
      <c r="G75" s="332"/>
      <c r="H75" s="284"/>
      <c r="I75" s="164"/>
      <c r="J75" s="164"/>
      <c r="K75" s="395"/>
      <c r="L75" s="395"/>
      <c r="M75" s="164"/>
      <c r="N75" s="179">
        <f>(N90/H90)^(1/6)</f>
        <v>1.258349259461647</v>
      </c>
      <c r="O75" s="164"/>
      <c r="P75" s="164"/>
      <c r="Q75" s="164"/>
      <c r="R75" s="164"/>
      <c r="S75" s="164"/>
      <c r="T75" s="164"/>
      <c r="U75" s="164"/>
      <c r="V75" s="164"/>
      <c r="W75" s="164"/>
      <c r="X75" s="186">
        <f>(X90/N90)^(1/10)</f>
        <v>1.0225651825635729</v>
      </c>
      <c r="AH75" s="186">
        <f>(AH90/X90)^(1/10)</f>
        <v>1.0077257952426748</v>
      </c>
      <c r="AI75" s="127"/>
    </row>
    <row r="76" spans="1:35">
      <c r="A76" s="9" t="s">
        <v>348</v>
      </c>
      <c r="B76" s="37"/>
      <c r="C76" s="332"/>
      <c r="D76" s="332"/>
      <c r="E76" s="332"/>
      <c r="F76" s="332"/>
      <c r="G76" s="332"/>
      <c r="H76" s="284"/>
      <c r="I76" s="164"/>
      <c r="J76" s="164"/>
      <c r="K76" s="395"/>
      <c r="L76" s="395"/>
      <c r="M76" s="164"/>
      <c r="N76" s="179">
        <f>(N91/H91)^(1/6)</f>
        <v>1.258349259461647</v>
      </c>
      <c r="O76" s="164"/>
      <c r="P76" s="164"/>
      <c r="Q76" s="164"/>
      <c r="R76" s="164"/>
      <c r="S76" s="164"/>
      <c r="T76" s="164"/>
      <c r="U76" s="164"/>
      <c r="V76" s="164"/>
      <c r="W76" s="164"/>
      <c r="X76" s="186">
        <f>(X91/N91)^(1/10)</f>
        <v>1.0225651825635729</v>
      </c>
      <c r="AH76" s="186">
        <f>(AH91/X91)^(1/10)</f>
        <v>1.0077257952426748</v>
      </c>
      <c r="AI76" s="127"/>
    </row>
    <row r="77" spans="1:35">
      <c r="A77" s="9" t="s">
        <v>344</v>
      </c>
      <c r="B77" s="37"/>
      <c r="C77" s="332"/>
      <c r="D77" s="332"/>
      <c r="E77" s="332"/>
      <c r="F77" s="332"/>
      <c r="G77" s="332"/>
      <c r="H77" s="284"/>
      <c r="I77" s="164"/>
      <c r="J77" s="164"/>
      <c r="K77" s="395"/>
      <c r="L77" s="395"/>
      <c r="M77" s="164"/>
      <c r="N77" s="179">
        <f>(N92/H92)^(1/6)</f>
        <v>1.258349259461647</v>
      </c>
      <c r="O77" s="164"/>
      <c r="P77" s="164"/>
      <c r="Q77" s="164"/>
      <c r="R77" s="164"/>
      <c r="S77" s="164"/>
      <c r="T77" s="164"/>
      <c r="U77" s="164"/>
      <c r="V77" s="164"/>
      <c r="W77" s="164"/>
      <c r="X77" s="186">
        <f>(X92/N92)^(1/10)</f>
        <v>1.0225651825635729</v>
      </c>
      <c r="AH77" s="186">
        <f>(AH92/X92)^(1/10)</f>
        <v>1.0077257952426748</v>
      </c>
      <c r="AI77" s="127"/>
    </row>
    <row r="78" spans="1:35">
      <c r="A78" s="9" t="s">
        <v>120</v>
      </c>
      <c r="B78" s="37"/>
      <c r="C78" s="332"/>
      <c r="D78" s="332"/>
      <c r="E78" s="332"/>
      <c r="F78" s="332"/>
      <c r="G78" s="332"/>
      <c r="H78" s="284"/>
      <c r="I78" s="164"/>
      <c r="J78" s="164"/>
      <c r="K78" s="395"/>
      <c r="L78" s="395"/>
      <c r="M78" s="164"/>
      <c r="N78" s="186">
        <f t="shared" ref="N78:N79" si="70">(N93/H93)^(1/6)</f>
        <v>1.3793483703107039</v>
      </c>
      <c r="O78" s="164"/>
      <c r="P78" s="164"/>
      <c r="Q78" s="164"/>
      <c r="R78" s="164"/>
      <c r="S78" s="164"/>
      <c r="T78" s="164"/>
      <c r="U78" s="164"/>
      <c r="V78" s="164"/>
      <c r="W78" s="164"/>
      <c r="X78" s="186">
        <f t="shared" ref="X78:X79" si="71">(X93/N93)^(1/10)</f>
        <v>1.091266213013687</v>
      </c>
      <c r="AH78" s="186">
        <f t="shared" ref="AH78:AH79" si="72">(AH93/X93)^(1/10)</f>
        <v>1.0476050623309285</v>
      </c>
      <c r="AI78" s="127"/>
    </row>
    <row r="79" spans="1:35">
      <c r="A79" s="9" t="s">
        <v>53</v>
      </c>
      <c r="B79" s="37"/>
      <c r="C79" s="332"/>
      <c r="D79" s="332"/>
      <c r="E79" s="332"/>
      <c r="F79" s="332"/>
      <c r="G79" s="332"/>
      <c r="H79" s="284"/>
      <c r="I79" s="164"/>
      <c r="J79" s="164"/>
      <c r="K79" s="395"/>
      <c r="L79" s="395"/>
      <c r="M79" s="164"/>
      <c r="N79" s="186">
        <f t="shared" si="70"/>
        <v>1.2611197284861622</v>
      </c>
      <c r="O79" s="164"/>
      <c r="P79" s="164"/>
      <c r="Q79" s="164"/>
      <c r="R79" s="164"/>
      <c r="S79" s="164"/>
      <c r="T79" s="164"/>
      <c r="U79" s="164"/>
      <c r="V79" s="164"/>
      <c r="W79" s="164"/>
      <c r="X79" s="186">
        <f t="shared" si="71"/>
        <v>1.0225651825635729</v>
      </c>
      <c r="AH79" s="186">
        <f t="shared" si="72"/>
        <v>1.0077257952426748</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548</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2.326619172815424E-2</v>
      </c>
      <c r="D84" s="336">
        <f t="shared" si="73"/>
        <v>2.3900531889268804E-2</v>
      </c>
      <c r="E84" s="336">
        <f t="shared" si="73"/>
        <v>2.453487205038337E-2</v>
      </c>
      <c r="F84" s="336">
        <f t="shared" si="73"/>
        <v>2.516921221149793E-2</v>
      </c>
      <c r="G84" s="336">
        <f t="shared" si="73"/>
        <v>2.5803552372612497E-2</v>
      </c>
      <c r="H84" s="396">
        <f t="shared" si="73"/>
        <v>2.5834274083495777E-2</v>
      </c>
      <c r="I84" s="116">
        <f t="shared" si="73"/>
        <v>2.6569217319648886E-2</v>
      </c>
      <c r="J84" s="116">
        <f t="shared" si="73"/>
        <v>2.7304160555801996E-2</v>
      </c>
      <c r="K84" s="116">
        <f t="shared" si="73"/>
        <v>2.8039103791955108E-2</v>
      </c>
      <c r="L84" s="116">
        <f t="shared" si="73"/>
        <v>2.8774047028108218E-2</v>
      </c>
      <c r="M84" s="116">
        <f t="shared" si="73"/>
        <v>2.9508990264261327E-2</v>
      </c>
      <c r="N84" s="178">
        <f t="shared" si="73"/>
        <v>3.0243933500414429E-2</v>
      </c>
      <c r="O84" s="116">
        <f t="shared" si="73"/>
        <v>3.0398824988800525E-2</v>
      </c>
      <c r="P84" s="116">
        <f t="shared" si="73"/>
        <v>3.0553716477186625E-2</v>
      </c>
      <c r="Q84" s="116">
        <f t="shared" si="73"/>
        <v>3.0708607965572728E-2</v>
      </c>
      <c r="R84" s="116">
        <f t="shared" si="73"/>
        <v>3.0863499453958824E-2</v>
      </c>
      <c r="S84" s="116">
        <f t="shared" si="73"/>
        <v>3.1018390942344924E-2</v>
      </c>
      <c r="T84" s="116">
        <f t="shared" si="73"/>
        <v>3.1173282430731027E-2</v>
      </c>
      <c r="U84" s="116">
        <f t="shared" si="73"/>
        <v>3.1328173919117124E-2</v>
      </c>
      <c r="V84" s="116">
        <f t="shared" si="73"/>
        <v>3.1483065407503223E-2</v>
      </c>
      <c r="W84" s="116">
        <f t="shared" si="73"/>
        <v>3.1637956895889323E-2</v>
      </c>
      <c r="X84" s="178">
        <f t="shared" si="73"/>
        <v>3.1792848384275409E-2</v>
      </c>
      <c r="Y84" s="173">
        <f t="shared" si="73"/>
        <v>3.1979775434745811E-2</v>
      </c>
      <c r="Z84" s="173">
        <f t="shared" si="73"/>
        <v>3.216670248521622E-2</v>
      </c>
      <c r="AA84" s="173">
        <f t="shared" si="73"/>
        <v>3.2353629535686629E-2</v>
      </c>
      <c r="AB84" s="173">
        <f t="shared" si="73"/>
        <v>3.2540556586157038E-2</v>
      </c>
      <c r="AC84" s="173">
        <f t="shared" si="73"/>
        <v>3.2727483636627447E-2</v>
      </c>
      <c r="AD84" s="173">
        <f t="shared" si="73"/>
        <v>3.2914410687097856E-2</v>
      </c>
      <c r="AE84" s="173">
        <f t="shared" si="73"/>
        <v>3.3101337737568265E-2</v>
      </c>
      <c r="AF84" s="173">
        <f t="shared" si="73"/>
        <v>3.3288264788038674E-2</v>
      </c>
      <c r="AG84" s="173">
        <f t="shared" si="73"/>
        <v>3.3475191838509083E-2</v>
      </c>
      <c r="AH84" s="178">
        <f t="shared" si="73"/>
        <v>3.3662118888979464E-2</v>
      </c>
      <c r="AI84" s="127"/>
    </row>
    <row r="85" spans="1:35">
      <c r="A85" s="9" t="s">
        <v>59</v>
      </c>
      <c r="B85" s="37"/>
      <c r="C85" s="336">
        <f t="shared" ref="C85:AH85" si="74">C32/C$49</f>
        <v>0</v>
      </c>
      <c r="D85" s="336">
        <f t="shared" si="74"/>
        <v>0</v>
      </c>
      <c r="E85" s="336">
        <f t="shared" si="74"/>
        <v>0</v>
      </c>
      <c r="F85" s="336">
        <f t="shared" si="74"/>
        <v>0</v>
      </c>
      <c r="G85" s="336">
        <f t="shared" si="74"/>
        <v>0</v>
      </c>
      <c r="H85" s="396">
        <f t="shared" si="74"/>
        <v>0</v>
      </c>
      <c r="I85" s="116">
        <f t="shared" si="74"/>
        <v>0</v>
      </c>
      <c r="J85" s="116">
        <f t="shared" si="74"/>
        <v>0</v>
      </c>
      <c r="K85" s="116">
        <f t="shared" si="74"/>
        <v>0</v>
      </c>
      <c r="L85" s="116">
        <f t="shared" si="74"/>
        <v>0</v>
      </c>
      <c r="M85" s="116">
        <f t="shared" si="74"/>
        <v>0</v>
      </c>
      <c r="N85" s="178">
        <f t="shared" si="74"/>
        <v>0</v>
      </c>
      <c r="O85" s="116">
        <f t="shared" si="74"/>
        <v>0</v>
      </c>
      <c r="P85" s="116">
        <f t="shared" si="74"/>
        <v>0</v>
      </c>
      <c r="Q85" s="116">
        <f t="shared" si="74"/>
        <v>0</v>
      </c>
      <c r="R85" s="116">
        <f t="shared" si="74"/>
        <v>0</v>
      </c>
      <c r="S85" s="116">
        <f t="shared" si="74"/>
        <v>0</v>
      </c>
      <c r="T85" s="116">
        <f t="shared" si="74"/>
        <v>0</v>
      </c>
      <c r="U85" s="116">
        <f t="shared" si="74"/>
        <v>0</v>
      </c>
      <c r="V85" s="116">
        <f t="shared" si="74"/>
        <v>0</v>
      </c>
      <c r="W85" s="116">
        <f t="shared" si="74"/>
        <v>0</v>
      </c>
      <c r="X85" s="178">
        <f t="shared" si="74"/>
        <v>0</v>
      </c>
      <c r="Y85" s="173">
        <f t="shared" si="74"/>
        <v>0</v>
      </c>
      <c r="Z85" s="173">
        <f t="shared" si="74"/>
        <v>0</v>
      </c>
      <c r="AA85" s="173">
        <f t="shared" si="74"/>
        <v>0</v>
      </c>
      <c r="AB85" s="173">
        <f t="shared" si="74"/>
        <v>0</v>
      </c>
      <c r="AC85" s="173">
        <f t="shared" si="74"/>
        <v>0</v>
      </c>
      <c r="AD85" s="173">
        <f t="shared" si="74"/>
        <v>0</v>
      </c>
      <c r="AE85" s="173">
        <f t="shared" si="74"/>
        <v>0</v>
      </c>
      <c r="AF85" s="173">
        <f t="shared" si="74"/>
        <v>0</v>
      </c>
      <c r="AG85" s="173">
        <f t="shared" si="74"/>
        <v>0</v>
      </c>
      <c r="AH85" s="178">
        <f t="shared" si="74"/>
        <v>0</v>
      </c>
      <c r="AI85" s="127"/>
    </row>
    <row r="86" spans="1:35" s="252" customFormat="1">
      <c r="A86" s="10" t="s">
        <v>121</v>
      </c>
      <c r="B86" s="37"/>
      <c r="C86" s="410">
        <f t="shared" ref="C86:AH86" si="75">C34/C$49</f>
        <v>1.4135074774545557E-5</v>
      </c>
      <c r="D86" s="336">
        <f t="shared" si="75"/>
        <v>2.3737216431244847E-5</v>
      </c>
      <c r="E86" s="336">
        <f t="shared" si="75"/>
        <v>3.9862218834415431E-5</v>
      </c>
      <c r="F86" s="336">
        <f t="shared" si="75"/>
        <v>6.6941146827614488E-5</v>
      </c>
      <c r="G86" s="336">
        <f t="shared" si="75"/>
        <v>1.1241514571003823E-4</v>
      </c>
      <c r="H86" s="409">
        <f t="shared" si="75"/>
        <v>3.0333200642961475E-6</v>
      </c>
      <c r="I86" s="396">
        <f t="shared" si="75"/>
        <v>5.0938941618545537E-6</v>
      </c>
      <c r="J86" s="396">
        <f t="shared" si="75"/>
        <v>8.5542432655212843E-6</v>
      </c>
      <c r="K86" s="396">
        <f t="shared" si="75"/>
        <v>1.4365252893098019E-5</v>
      </c>
      <c r="L86" s="396">
        <f t="shared" si="75"/>
        <v>2.4123757564204099E-5</v>
      </c>
      <c r="M86" s="396">
        <f t="shared" si="75"/>
        <v>4.0511342427957042E-5</v>
      </c>
      <c r="N86" s="397">
        <f>N34/N$49</f>
        <v>6.8031228590625188E-5</v>
      </c>
      <c r="O86" s="396">
        <f t="shared" si="75"/>
        <v>6.9566365683796792E-5</v>
      </c>
      <c r="P86" s="396">
        <f t="shared" si="75"/>
        <v>7.1136143425735933E-5</v>
      </c>
      <c r="Q86" s="396">
        <f t="shared" si="75"/>
        <v>7.2741343489006173E-5</v>
      </c>
      <c r="R86" s="396">
        <f t="shared" si="75"/>
        <v>7.4382765184755165E-5</v>
      </c>
      <c r="S86" s="396">
        <f t="shared" si="75"/>
        <v>7.6061225860732531E-5</v>
      </c>
      <c r="T86" s="396">
        <f t="shared" si="75"/>
        <v>7.7777561308289112E-5</v>
      </c>
      <c r="U86" s="396">
        <f t="shared" si="75"/>
        <v>7.9532626178560132E-5</v>
      </c>
      <c r="V86" s="396">
        <f t="shared" si="75"/>
        <v>8.1327294408039738E-5</v>
      </c>
      <c r="W86" s="396">
        <f t="shared" si="75"/>
        <v>8.3162459653758592E-5</v>
      </c>
      <c r="X86" s="397">
        <f t="shared" si="75"/>
        <v>8.5039035738281499E-5</v>
      </c>
      <c r="Y86" s="396">
        <f>Y34/Y$49</f>
        <v>8.5696029916029968E-5</v>
      </c>
      <c r="Z86" s="396">
        <f t="shared" si="75"/>
        <v>8.6358099896271352E-5</v>
      </c>
      <c r="AA86" s="396">
        <f t="shared" si="75"/>
        <v>8.7025284893616403E-5</v>
      </c>
      <c r="AB86" s="396">
        <f t="shared" si="75"/>
        <v>8.7697624425639922E-5</v>
      </c>
      <c r="AC86" s="396">
        <f t="shared" si="75"/>
        <v>8.8375158315221413E-5</v>
      </c>
      <c r="AD86" s="396">
        <f t="shared" si="75"/>
        <v>8.9057926692903781E-5</v>
      </c>
      <c r="AE86" s="396">
        <f t="shared" si="75"/>
        <v>8.9745969999270294E-5</v>
      </c>
      <c r="AF86" s="396">
        <f t="shared" si="75"/>
        <v>9.0439328987339886E-5</v>
      </c>
      <c r="AG86" s="396">
        <f t="shared" si="75"/>
        <v>9.1138044724980982E-5</v>
      </c>
      <c r="AH86" s="397">
        <f t="shared" si="75"/>
        <v>9.1842158597344031E-5</v>
      </c>
      <c r="AI86" s="292"/>
    </row>
    <row r="87" spans="1:35">
      <c r="A87" s="9" t="s">
        <v>50</v>
      </c>
      <c r="B87" s="37"/>
      <c r="C87" s="410">
        <f t="shared" ref="C87:AH87" si="76">C35/C$49</f>
        <v>0</v>
      </c>
      <c r="D87" s="336">
        <f t="shared" si="76"/>
        <v>0</v>
      </c>
      <c r="E87" s="336">
        <f t="shared" si="76"/>
        <v>1.1543937634805912E-12</v>
      </c>
      <c r="F87" s="336">
        <f t="shared" si="76"/>
        <v>1.3428533163043961E-12</v>
      </c>
      <c r="G87" s="336">
        <f t="shared" si="76"/>
        <v>1.1672721168155815E-12</v>
      </c>
      <c r="H87" s="409">
        <f t="shared" si="76"/>
        <v>1.1660526090338246E-12</v>
      </c>
      <c r="I87" s="116">
        <f t="shared" si="76"/>
        <v>1.4673014370710346E-12</v>
      </c>
      <c r="J87" s="116">
        <f>J35/J$49</f>
        <v>1.846377676745347E-12</v>
      </c>
      <c r="K87" s="116">
        <f t="shared" si="76"/>
        <v>2.3233879822190236E-12</v>
      </c>
      <c r="L87" s="116">
        <f t="shared" si="76"/>
        <v>2.9236335468673989E-12</v>
      </c>
      <c r="M87" s="116">
        <f t="shared" si="76"/>
        <v>3.6789521086378196E-12</v>
      </c>
      <c r="N87" s="178">
        <f t="shared" si="76"/>
        <v>4.629406661499264E-12</v>
      </c>
      <c r="O87" s="116">
        <f t="shared" si="76"/>
        <v>4.733870067977016E-12</v>
      </c>
      <c r="P87" s="116">
        <f t="shared" si="76"/>
        <v>4.8406907102931504E-12</v>
      </c>
      <c r="Q87" s="116">
        <f t="shared" si="76"/>
        <v>4.9499217799047066E-12</v>
      </c>
      <c r="R87" s="116">
        <f t="shared" si="76"/>
        <v>5.0616176685436621E-12</v>
      </c>
      <c r="S87" s="116">
        <f t="shared" si="76"/>
        <v>5.1758339953013557E-12</v>
      </c>
      <c r="T87" s="116">
        <f t="shared" si="76"/>
        <v>5.2926276343240777E-12</v>
      </c>
      <c r="U87" s="116">
        <f t="shared" si="76"/>
        <v>5.4120567431336113E-12</v>
      </c>
      <c r="V87" s="116">
        <f t="shared" si="76"/>
        <v>5.5341807915868371E-12</v>
      </c>
      <c r="W87" s="116">
        <f t="shared" si="76"/>
        <v>5.6590605914888126E-12</v>
      </c>
      <c r="X87" s="178">
        <f t="shared" si="76"/>
        <v>5.78675832687408E-12</v>
      </c>
      <c r="Y87" s="173">
        <f t="shared" si="76"/>
        <v>5.8314656368263542E-12</v>
      </c>
      <c r="Z87" s="173">
        <f t="shared" si="76"/>
        <v>5.8765183463011697E-12</v>
      </c>
      <c r="AA87" s="173">
        <f t="shared" si="76"/>
        <v>5.9219191237845156E-12</v>
      </c>
      <c r="AB87" s="173">
        <f t="shared" si="76"/>
        <v>5.967670658378557E-12</v>
      </c>
      <c r="AC87" s="173">
        <f t="shared" si="76"/>
        <v>6.0137756599609087E-12</v>
      </c>
      <c r="AD87" s="173">
        <f t="shared" si="76"/>
        <v>6.0602368593451495E-12</v>
      </c>
      <c r="AE87" s="173">
        <f t="shared" si="76"/>
        <v>6.1070570084425619E-12</v>
      </c>
      <c r="AF87" s="173">
        <f t="shared" si="76"/>
        <v>6.1542388804251331E-12</v>
      </c>
      <c r="AG87" s="173">
        <f t="shared" si="76"/>
        <v>6.2017852698898067E-12</v>
      </c>
      <c r="AH87" s="178">
        <f t="shared" si="76"/>
        <v>6.249698993024008E-12</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0</v>
      </c>
      <c r="D89" s="336">
        <f t="shared" si="78"/>
        <v>0</v>
      </c>
      <c r="E89" s="336">
        <f t="shared" si="78"/>
        <v>5.1030957549358496E-7</v>
      </c>
      <c r="F89" s="336">
        <f t="shared" si="78"/>
        <v>6.5435711250732636E-7</v>
      </c>
      <c r="G89" s="336">
        <f t="shared" si="78"/>
        <v>6.9345453661155254E-7</v>
      </c>
      <c r="H89" s="409">
        <f t="shared" si="78"/>
        <v>6.955497982623718E-7</v>
      </c>
      <c r="I89" s="116">
        <f t="shared" si="78"/>
        <v>8.7431447813257213E-7</v>
      </c>
      <c r="J89" s="116">
        <f t="shared" si="78"/>
        <v>1.0990238349316281E-6</v>
      </c>
      <c r="K89" s="116">
        <f t="shared" si="78"/>
        <v>1.3814862042861834E-6</v>
      </c>
      <c r="L89" s="116">
        <f t="shared" si="78"/>
        <v>1.7365448063751752E-6</v>
      </c>
      <c r="M89" s="116">
        <f t="shared" si="78"/>
        <v>2.1828577478316221E-6</v>
      </c>
      <c r="N89" s="178">
        <f t="shared" si="78"/>
        <v>2.7438784935325812E-6</v>
      </c>
      <c r="O89" s="116">
        <f t="shared" si="78"/>
        <v>2.8057946126714039E-6</v>
      </c>
      <c r="P89" s="116">
        <f t="shared" si="78"/>
        <v>2.8691078803422237E-6</v>
      </c>
      <c r="Q89" s="116">
        <f t="shared" si="78"/>
        <v>2.9338498234567314E-6</v>
      </c>
      <c r="R89" s="116">
        <f t="shared" si="78"/>
        <v>3.0000526803371383E-6</v>
      </c>
      <c r="S89" s="116">
        <f t="shared" si="78"/>
        <v>3.0677494167692825E-6</v>
      </c>
      <c r="T89" s="116">
        <f t="shared" si="78"/>
        <v>3.1369737424179752E-6</v>
      </c>
      <c r="U89" s="116">
        <f t="shared" si="78"/>
        <v>3.2077601276127711E-6</v>
      </c>
      <c r="V89" s="116">
        <f t="shared" si="78"/>
        <v>3.2801438205125027E-6</v>
      </c>
      <c r="W89" s="116">
        <f t="shared" si="78"/>
        <v>3.3541608646571433E-6</v>
      </c>
      <c r="X89" s="178">
        <f t="shared" si="78"/>
        <v>3.4298481169157267E-6</v>
      </c>
      <c r="Y89" s="173">
        <f t="shared" si="78"/>
        <v>3.4563464211804913E-6</v>
      </c>
      <c r="Z89" s="173">
        <f t="shared" si="78"/>
        <v>3.4830494459182837E-6</v>
      </c>
      <c r="AA89" s="173">
        <f t="shared" si="78"/>
        <v>3.5099587727575602E-6</v>
      </c>
      <c r="AB89" s="173">
        <f t="shared" si="78"/>
        <v>3.5370759955461154E-6</v>
      </c>
      <c r="AC89" s="173">
        <f t="shared" si="78"/>
        <v>3.5644027204454849E-6</v>
      </c>
      <c r="AD89" s="173">
        <f t="shared" si="78"/>
        <v>3.59194056602608E-6</v>
      </c>
      <c r="AE89" s="173">
        <f t="shared" si="78"/>
        <v>3.6196911633630549E-6</v>
      </c>
      <c r="AF89" s="173">
        <f t="shared" si="78"/>
        <v>3.6476561561329173E-6</v>
      </c>
      <c r="AG89" s="173">
        <f t="shared" si="78"/>
        <v>3.6758372007108824E-6</v>
      </c>
      <c r="AH89" s="178">
        <f t="shared" si="78"/>
        <v>3.7042359662689853E-6</v>
      </c>
      <c r="AI89" s="127"/>
    </row>
    <row r="90" spans="1:35" s="252" customFormat="1">
      <c r="A90" s="10" t="s">
        <v>347</v>
      </c>
      <c r="B90" s="37"/>
      <c r="C90" s="410">
        <f t="shared" ref="C90:AH90" si="79">C38/C$49</f>
        <v>0</v>
      </c>
      <c r="D90" s="336">
        <f t="shared" si="79"/>
        <v>0</v>
      </c>
      <c r="E90" s="336">
        <f t="shared" si="79"/>
        <v>2.3087875269611821E-7</v>
      </c>
      <c r="F90" s="336">
        <f t="shared" si="79"/>
        <v>2.6857066326087921E-7</v>
      </c>
      <c r="G90" s="336">
        <f t="shared" si="79"/>
        <v>2.3345442336311632E-7</v>
      </c>
      <c r="H90" s="409">
        <f t="shared" si="79"/>
        <v>2.3321052180676489E-7</v>
      </c>
      <c r="I90" s="396">
        <f t="shared" si="79"/>
        <v>2.9346028741420686E-7</v>
      </c>
      <c r="J90" s="396">
        <f t="shared" si="79"/>
        <v>3.692755353490693E-7</v>
      </c>
      <c r="K90" s="396">
        <f t="shared" si="79"/>
        <v>4.6467759644380462E-7</v>
      </c>
      <c r="L90" s="396">
        <f t="shared" si="79"/>
        <v>5.8472670937347959E-7</v>
      </c>
      <c r="M90" s="396">
        <f t="shared" si="79"/>
        <v>7.3579042172756371E-7</v>
      </c>
      <c r="N90" s="397">
        <f t="shared" si="79"/>
        <v>9.2588133229985288E-7</v>
      </c>
      <c r="O90" s="396">
        <f t="shared" si="79"/>
        <v>9.4677401359540302E-7</v>
      </c>
      <c r="P90" s="396">
        <f t="shared" si="79"/>
        <v>9.681381420586299E-7</v>
      </c>
      <c r="Q90" s="396">
        <f t="shared" si="79"/>
        <v>9.8998435598094118E-7</v>
      </c>
      <c r="R90" s="396">
        <f t="shared" si="79"/>
        <v>1.0123235337087323E-6</v>
      </c>
      <c r="S90" s="396">
        <f t="shared" si="79"/>
        <v>1.0351667990602711E-6</v>
      </c>
      <c r="T90" s="396">
        <f t="shared" si="79"/>
        <v>1.0585255268648155E-6</v>
      </c>
      <c r="U90" s="396">
        <f t="shared" si="79"/>
        <v>1.0824113486267223E-6</v>
      </c>
      <c r="V90" s="396">
        <f t="shared" si="79"/>
        <v>1.1068361583173674E-6</v>
      </c>
      <c r="W90" s="396">
        <f t="shared" si="79"/>
        <v>1.1318121182977624E-6</v>
      </c>
      <c r="X90" s="397">
        <f t="shared" si="79"/>
        <v>1.1573516653748161E-6</v>
      </c>
      <c r="Y90" s="396">
        <f t="shared" si="79"/>
        <v>1.1662931273652706E-6</v>
      </c>
      <c r="Z90" s="396">
        <f t="shared" si="79"/>
        <v>1.1753036692602336E-6</v>
      </c>
      <c r="AA90" s="396">
        <f t="shared" si="79"/>
        <v>1.1843838247569025E-6</v>
      </c>
      <c r="AB90" s="396">
        <f t="shared" si="79"/>
        <v>1.1935341316757103E-6</v>
      </c>
      <c r="AC90" s="396">
        <f t="shared" si="79"/>
        <v>1.2027551319921804E-6</v>
      </c>
      <c r="AD90" s="396">
        <f t="shared" si="79"/>
        <v>1.2120473718690283E-6</v>
      </c>
      <c r="AE90" s="396">
        <f t="shared" si="79"/>
        <v>1.2214114016885105E-6</v>
      </c>
      <c r="AF90" s="396">
        <f t="shared" si="79"/>
        <v>1.2308477760850243E-6</v>
      </c>
      <c r="AG90" s="396">
        <f t="shared" si="79"/>
        <v>1.2403570539779588E-6</v>
      </c>
      <c r="AH90" s="397">
        <f t="shared" si="79"/>
        <v>1.2499397986048015E-6</v>
      </c>
      <c r="AI90" s="292"/>
    </row>
    <row r="91" spans="1:35" s="252" customFormat="1">
      <c r="A91" s="10" t="s">
        <v>348</v>
      </c>
      <c r="B91" s="37"/>
      <c r="C91" s="410">
        <f t="shared" ref="C91:AH91" si="80">C39/C$49</f>
        <v>0</v>
      </c>
      <c r="D91" s="336">
        <f t="shared" si="80"/>
        <v>0</v>
      </c>
      <c r="E91" s="336">
        <f t="shared" si="80"/>
        <v>1.1543937634805911E-7</v>
      </c>
      <c r="F91" s="336">
        <f t="shared" si="80"/>
        <v>1.3428533163043961E-7</v>
      </c>
      <c r="G91" s="336">
        <f t="shared" si="80"/>
        <v>1.1672721168155816E-7</v>
      </c>
      <c r="H91" s="409">
        <f t="shared" si="80"/>
        <v>1.1660526090338244E-7</v>
      </c>
      <c r="I91" s="396">
        <f t="shared" si="80"/>
        <v>1.4673014370710343E-7</v>
      </c>
      <c r="J91" s="396">
        <f t="shared" si="80"/>
        <v>1.8463776767453465E-7</v>
      </c>
      <c r="K91" s="396">
        <f t="shared" si="80"/>
        <v>2.3233879822190231E-7</v>
      </c>
      <c r="L91" s="396">
        <f t="shared" si="80"/>
        <v>2.9236335468673979E-7</v>
      </c>
      <c r="M91" s="396">
        <f t="shared" si="80"/>
        <v>3.6789521086378185E-7</v>
      </c>
      <c r="N91" s="397">
        <f t="shared" si="80"/>
        <v>4.6294066614992644E-7</v>
      </c>
      <c r="O91" s="396">
        <f t="shared" si="80"/>
        <v>4.7338700679770151E-7</v>
      </c>
      <c r="P91" s="396">
        <f t="shared" si="80"/>
        <v>4.8406907102931495E-7</v>
      </c>
      <c r="Q91" s="396">
        <f t="shared" si="80"/>
        <v>4.9499217799047059E-7</v>
      </c>
      <c r="R91" s="396">
        <f t="shared" si="80"/>
        <v>5.0616176685436616E-7</v>
      </c>
      <c r="S91" s="396">
        <f t="shared" si="80"/>
        <v>5.1758339953013553E-7</v>
      </c>
      <c r="T91" s="396">
        <f t="shared" si="80"/>
        <v>5.2926276343240776E-7</v>
      </c>
      <c r="U91" s="396">
        <f t="shared" si="80"/>
        <v>5.4120567431336115E-7</v>
      </c>
      <c r="V91" s="396">
        <f t="shared" si="80"/>
        <v>5.5341807915868369E-7</v>
      </c>
      <c r="W91" s="396">
        <f t="shared" si="80"/>
        <v>5.659060591488812E-7</v>
      </c>
      <c r="X91" s="397">
        <f t="shared" si="80"/>
        <v>5.7867583268740807E-7</v>
      </c>
      <c r="Y91" s="396">
        <f t="shared" si="80"/>
        <v>5.8314656368263529E-7</v>
      </c>
      <c r="Z91" s="396">
        <f t="shared" si="80"/>
        <v>5.8765183463011679E-7</v>
      </c>
      <c r="AA91" s="396">
        <f t="shared" si="80"/>
        <v>5.9219191237845126E-7</v>
      </c>
      <c r="AB91" s="396">
        <f t="shared" si="80"/>
        <v>5.9676706583785514E-7</v>
      </c>
      <c r="AC91" s="396">
        <f t="shared" si="80"/>
        <v>6.0137756599609022E-7</v>
      </c>
      <c r="AD91" s="396">
        <f t="shared" si="80"/>
        <v>6.0602368593451414E-7</v>
      </c>
      <c r="AE91" s="396">
        <f t="shared" si="80"/>
        <v>6.1070570084425527E-7</v>
      </c>
      <c r="AF91" s="396">
        <f t="shared" si="80"/>
        <v>6.1542388804251217E-7</v>
      </c>
      <c r="AG91" s="396">
        <f t="shared" si="80"/>
        <v>6.201785269889794E-7</v>
      </c>
      <c r="AH91" s="397">
        <f t="shared" si="80"/>
        <v>6.2496989930240074E-7</v>
      </c>
      <c r="AI91" s="292"/>
    </row>
    <row r="92" spans="1:35">
      <c r="A92" s="9" t="s">
        <v>344</v>
      </c>
      <c r="B92" s="37"/>
      <c r="C92" s="410">
        <f t="shared" ref="C92:AH92" si="81">C40/C$49</f>
        <v>1.4135074774545558E-7</v>
      </c>
      <c r="D92" s="336">
        <f t="shared" si="81"/>
        <v>1.7786860874984409E-7</v>
      </c>
      <c r="E92" s="336">
        <f t="shared" si="81"/>
        <v>2.2382083210183975E-7</v>
      </c>
      <c r="F92" s="336">
        <f t="shared" si="81"/>
        <v>2.8164477832743964E-7</v>
      </c>
      <c r="G92" s="336">
        <f t="shared" si="81"/>
        <v>3.5440749823957341E-7</v>
      </c>
      <c r="H92" s="409">
        <f t="shared" si="81"/>
        <v>1.1660526090338244E-7</v>
      </c>
      <c r="I92" s="116">
        <f t="shared" si="81"/>
        <v>1.4673014370710343E-7</v>
      </c>
      <c r="J92" s="116">
        <f t="shared" si="81"/>
        <v>1.8463776767453465E-7</v>
      </c>
      <c r="K92" s="116">
        <f t="shared" si="81"/>
        <v>2.3233879822190231E-7</v>
      </c>
      <c r="L92" s="116">
        <f t="shared" si="81"/>
        <v>2.9236335468673979E-7</v>
      </c>
      <c r="M92" s="116">
        <f t="shared" si="81"/>
        <v>3.6789521086378185E-7</v>
      </c>
      <c r="N92" s="178">
        <f t="shared" si="81"/>
        <v>4.6294066614992644E-7</v>
      </c>
      <c r="O92" s="116">
        <f t="shared" si="81"/>
        <v>4.7338700679770151E-7</v>
      </c>
      <c r="P92" s="116">
        <f t="shared" si="81"/>
        <v>4.8406907102931495E-7</v>
      </c>
      <c r="Q92" s="116">
        <f t="shared" si="81"/>
        <v>4.9499217799047059E-7</v>
      </c>
      <c r="R92" s="116">
        <f t="shared" si="81"/>
        <v>5.0616176685436616E-7</v>
      </c>
      <c r="S92" s="116">
        <f t="shared" si="81"/>
        <v>5.1758339953013553E-7</v>
      </c>
      <c r="T92" s="116">
        <f t="shared" si="81"/>
        <v>5.2926276343240776E-7</v>
      </c>
      <c r="U92" s="116">
        <f t="shared" si="81"/>
        <v>5.4120567431336115E-7</v>
      </c>
      <c r="V92" s="116">
        <f t="shared" si="81"/>
        <v>5.5341807915868369E-7</v>
      </c>
      <c r="W92" s="116">
        <f t="shared" si="81"/>
        <v>5.659060591488812E-7</v>
      </c>
      <c r="X92" s="178">
        <f t="shared" si="81"/>
        <v>5.7867583268740807E-7</v>
      </c>
      <c r="Y92" s="173">
        <f t="shared" si="81"/>
        <v>5.8314656368263529E-7</v>
      </c>
      <c r="Z92" s="173">
        <f t="shared" si="81"/>
        <v>5.8765183463011679E-7</v>
      </c>
      <c r="AA92" s="173">
        <f t="shared" si="81"/>
        <v>5.9219191237845126E-7</v>
      </c>
      <c r="AB92" s="173">
        <f t="shared" si="81"/>
        <v>5.9676706583785514E-7</v>
      </c>
      <c r="AC92" s="173">
        <f t="shared" si="81"/>
        <v>6.0137756599609022E-7</v>
      </c>
      <c r="AD92" s="173">
        <f t="shared" si="81"/>
        <v>6.0602368593451414E-7</v>
      </c>
      <c r="AE92" s="173">
        <f t="shared" si="81"/>
        <v>6.1070570084425527E-7</v>
      </c>
      <c r="AF92" s="173">
        <f t="shared" si="81"/>
        <v>6.1542388804251217E-7</v>
      </c>
      <c r="AG92" s="173">
        <f t="shared" si="81"/>
        <v>6.201785269889794E-7</v>
      </c>
      <c r="AH92" s="178">
        <f t="shared" si="81"/>
        <v>6.2496989930240074E-7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1.1660526090338245E-5</v>
      </c>
      <c r="I93" s="116">
        <f t="shared" si="82"/>
        <v>2.3748003295004965E-5</v>
      </c>
      <c r="J93" s="116">
        <f t="shared" si="82"/>
        <v>3.5862760663331141E-5</v>
      </c>
      <c r="K93" s="116">
        <f t="shared" si="82"/>
        <v>4.6963166562674227E-5</v>
      </c>
      <c r="L93" s="116">
        <f t="shared" si="82"/>
        <v>5.8059921995084359E-5</v>
      </c>
      <c r="M93" s="116">
        <f t="shared" si="82"/>
        <v>6.9110744964582841E-5</v>
      </c>
      <c r="N93" s="178">
        <f t="shared" si="82"/>
        <v>8.0308579029952869E-5</v>
      </c>
      <c r="O93" s="116">
        <f t="shared" si="82"/>
        <v>9.1156915080607025E-5</v>
      </c>
      <c r="P93" s="116">
        <f t="shared" si="82"/>
        <v>1.0222168507689221E-4</v>
      </c>
      <c r="Q93" s="116">
        <f t="shared" si="82"/>
        <v>1.134597120899539E-4</v>
      </c>
      <c r="R93" s="116">
        <f t="shared" si="82"/>
        <v>1.2431535036545567E-4</v>
      </c>
      <c r="S93" s="116">
        <f t="shared" si="82"/>
        <v>1.3535310187012009E-4</v>
      </c>
      <c r="T93" s="116">
        <f t="shared" si="82"/>
        <v>1.466007191652266E-4</v>
      </c>
      <c r="U93" s="116">
        <f t="shared" si="82"/>
        <v>1.5775023362664005E-4</v>
      </c>
      <c r="V93" s="116">
        <f t="shared" si="82"/>
        <v>1.6901676291905375E-4</v>
      </c>
      <c r="W93" s="116">
        <f t="shared" si="82"/>
        <v>1.8030494683382855E-4</v>
      </c>
      <c r="X93" s="178">
        <f t="shared" si="82"/>
        <v>1.9233974354798751E-4</v>
      </c>
      <c r="Y93" s="173">
        <f t="shared" si="82"/>
        <v>2.0405907083588764E-4</v>
      </c>
      <c r="Z93" s="173">
        <f t="shared" si="82"/>
        <v>2.1554168060794351E-4</v>
      </c>
      <c r="AA93" s="173">
        <f t="shared" si="82"/>
        <v>2.2691849031407404E-4</v>
      </c>
      <c r="AB93" s="173">
        <f t="shared" si="82"/>
        <v>2.3811074694005168E-4</v>
      </c>
      <c r="AC93" s="173">
        <f t="shared" si="82"/>
        <v>2.4937543333263559E-4</v>
      </c>
      <c r="AD93" s="173">
        <f t="shared" si="82"/>
        <v>2.6066821784896714E-4</v>
      </c>
      <c r="AE93" s="173">
        <f t="shared" si="82"/>
        <v>2.7209268260409313E-4</v>
      </c>
      <c r="AF93" s="173">
        <f t="shared" si="82"/>
        <v>2.8355255169182863E-4</v>
      </c>
      <c r="AG93" s="173">
        <f t="shared" si="82"/>
        <v>2.9491918658523482E-4</v>
      </c>
      <c r="AH93" s="178">
        <f t="shared" si="82"/>
        <v>3.0622801314910515E-4</v>
      </c>
      <c r="AI93" s="127"/>
    </row>
    <row r="94" spans="1:35">
      <c r="A94" s="9" t="s">
        <v>53</v>
      </c>
      <c r="B94" s="37"/>
      <c r="C94" s="410">
        <f t="shared" ref="C94:AH94" si="83">C42/C$49</f>
        <v>1.0488225482712804E-2</v>
      </c>
      <c r="D94" s="336">
        <f t="shared" si="83"/>
        <v>1.3226908073060418E-2</v>
      </c>
      <c r="E94" s="336">
        <f t="shared" si="83"/>
        <v>3.6187782740415904E-2</v>
      </c>
      <c r="F94" s="336">
        <f t="shared" si="83"/>
        <v>4.9675259589793436E-2</v>
      </c>
      <c r="G94" s="336">
        <f t="shared" si="83"/>
        <v>4.963079957147732E-2</v>
      </c>
      <c r="H94" s="409">
        <f t="shared" si="83"/>
        <v>4.9697477031226039E-2</v>
      </c>
      <c r="I94" s="116">
        <f t="shared" si="83"/>
        <v>6.267446874006706E-2</v>
      </c>
      <c r="J94" s="116">
        <f t="shared" si="83"/>
        <v>7.9040009000487826E-2</v>
      </c>
      <c r="K94" s="116">
        <f t="shared" si="83"/>
        <v>9.9678914690239012E-2</v>
      </c>
      <c r="L94" s="116">
        <f t="shared" si="83"/>
        <v>0.12570704582994957</v>
      </c>
      <c r="M94" s="116">
        <f t="shared" si="83"/>
        <v>0.15853163550586355</v>
      </c>
      <c r="N94" s="178">
        <f t="shared" si="83"/>
        <v>0.19992737312562187</v>
      </c>
      <c r="O94" s="116">
        <f t="shared" si="83"/>
        <v>0.20443877079965708</v>
      </c>
      <c r="P94" s="116">
        <f t="shared" si="83"/>
        <v>0.20905196898582379</v>
      </c>
      <c r="Q94" s="116">
        <f t="shared" si="83"/>
        <v>0.21376926483126327</v>
      </c>
      <c r="R94" s="116">
        <f t="shared" si="83"/>
        <v>0.21859300731866149</v>
      </c>
      <c r="S94" s="116">
        <f t="shared" si="83"/>
        <v>0.22352559843592751</v>
      </c>
      <c r="T94" s="116">
        <f t="shared" si="83"/>
        <v>0.22856949437226609</v>
      </c>
      <c r="U94" s="116">
        <f t="shared" si="83"/>
        <v>0.23372720674123981</v>
      </c>
      <c r="V94" s="116">
        <f t="shared" si="83"/>
        <v>0.23900130383142987</v>
      </c>
      <c r="W94" s="116">
        <f t="shared" si="83"/>
        <v>0.24439441188531802</v>
      </c>
      <c r="X94" s="178">
        <f t="shared" si="83"/>
        <v>0.24990921640702732</v>
      </c>
      <c r="Y94" s="173">
        <f t="shared" si="83"/>
        <v>0.25183996384224533</v>
      </c>
      <c r="Z94" s="173">
        <f t="shared" si="83"/>
        <v>0.25378562783681313</v>
      </c>
      <c r="AA94" s="173">
        <f t="shared" si="83"/>
        <v>0.25574632363301403</v>
      </c>
      <c r="AB94" s="173">
        <f t="shared" si="83"/>
        <v>0.25772216736346953</v>
      </c>
      <c r="AC94" s="173">
        <f t="shared" si="83"/>
        <v>0.25971327605801808</v>
      </c>
      <c r="AD94" s="173">
        <f t="shared" si="83"/>
        <v>0.26171976765064658</v>
      </c>
      <c r="AE94" s="173">
        <f t="shared" si="83"/>
        <v>0.26374176098647589</v>
      </c>
      <c r="AF94" s="173">
        <f t="shared" si="83"/>
        <v>0.2657793758287999</v>
      </c>
      <c r="AG94" s="173">
        <f t="shared" si="83"/>
        <v>0.26783273286617915</v>
      </c>
      <c r="AH94" s="178">
        <f t="shared" si="83"/>
        <v>0.26990195371958953</v>
      </c>
      <c r="AI94" s="127"/>
    </row>
    <row r="95" spans="1:35" s="378" customFormat="1">
      <c r="A95" s="373" t="s">
        <v>541</v>
      </c>
      <c r="B95" s="374"/>
      <c r="C95" s="375">
        <f>SUM(C86:C94)</f>
        <v>1.0502501908235096E-2</v>
      </c>
      <c r="D95" s="375">
        <f>SUM(D86:D94)</f>
        <v>1.3250823158100413E-2</v>
      </c>
      <c r="E95" s="375">
        <f>SUM(E86:E94)</f>
        <v>3.6228725408941349E-2</v>
      </c>
      <c r="F95" s="375">
        <f>SUM(F86:F94)</f>
        <v>4.974353959584963E-2</v>
      </c>
      <c r="G95" s="375">
        <f t="shared" ref="G95:AH95" si="84">SUM(G86:G94)</f>
        <v>4.9744612762024527E-2</v>
      </c>
      <c r="H95" s="375">
        <f t="shared" si="84"/>
        <v>4.97133328493886E-2</v>
      </c>
      <c r="I95" s="375">
        <f t="shared" si="84"/>
        <v>6.2704771874044177E-2</v>
      </c>
      <c r="J95" s="375">
        <f t="shared" si="84"/>
        <v>7.9086263581168686E-2</v>
      </c>
      <c r="K95" s="375">
        <f t="shared" si="84"/>
        <v>9.9742553953415344E-2</v>
      </c>
      <c r="L95" s="375">
        <f t="shared" si="84"/>
        <v>0.12579213551065763</v>
      </c>
      <c r="M95" s="375">
        <f t="shared" si="84"/>
        <v>0.15864491203552633</v>
      </c>
      <c r="N95" s="376">
        <f t="shared" si="84"/>
        <v>0.20008030857902998</v>
      </c>
      <c r="O95" s="375">
        <f t="shared" si="84"/>
        <v>0.20460419342779521</v>
      </c>
      <c r="P95" s="375">
        <f t="shared" si="84"/>
        <v>0.20923013220333156</v>
      </c>
      <c r="Q95" s="375">
        <f t="shared" si="84"/>
        <v>0.21396037971032758</v>
      </c>
      <c r="R95" s="375">
        <f t="shared" si="84"/>
        <v>0.21879673013902107</v>
      </c>
      <c r="S95" s="375">
        <f t="shared" si="84"/>
        <v>0.22374215085184909</v>
      </c>
      <c r="T95" s="375">
        <f t="shared" si="84"/>
        <v>0.22879912668282837</v>
      </c>
      <c r="U95" s="375">
        <f t="shared" si="84"/>
        <v>0.23396986218928192</v>
      </c>
      <c r="V95" s="375">
        <f t="shared" si="84"/>
        <v>0.23925714171042828</v>
      </c>
      <c r="W95" s="375">
        <f t="shared" si="84"/>
        <v>0.24466349708256591</v>
      </c>
      <c r="X95" s="376">
        <f t="shared" si="84"/>
        <v>0.25019233974354799</v>
      </c>
      <c r="Y95" s="375">
        <f t="shared" si="84"/>
        <v>0.25213550788150463</v>
      </c>
      <c r="Z95" s="375">
        <f t="shared" si="84"/>
        <v>0.25409336127997828</v>
      </c>
      <c r="AA95" s="375">
        <f t="shared" si="84"/>
        <v>0.25606614614056589</v>
      </c>
      <c r="AB95" s="375">
        <f t="shared" si="84"/>
        <v>0.25805389988506178</v>
      </c>
      <c r="AC95" s="375">
        <f t="shared" si="84"/>
        <v>0.26005699656866416</v>
      </c>
      <c r="AD95" s="375">
        <f t="shared" si="84"/>
        <v>0.26207550983655847</v>
      </c>
      <c r="AE95" s="375">
        <f t="shared" si="84"/>
        <v>0.26410966215915305</v>
      </c>
      <c r="AF95" s="375">
        <f t="shared" si="84"/>
        <v>0.26615947706734161</v>
      </c>
      <c r="AG95" s="375">
        <f t="shared" si="84"/>
        <v>0.2682249466549998</v>
      </c>
      <c r="AH95" s="376">
        <f t="shared" si="84"/>
        <v>0.27030622801314913</v>
      </c>
      <c r="AI95" s="377"/>
    </row>
    <row r="96" spans="1:35">
      <c r="A96" s="10" t="s">
        <v>544</v>
      </c>
      <c r="B96" s="37"/>
      <c r="C96" s="332"/>
      <c r="D96" s="332">
        <f>D95/C95-1</f>
        <v>0.2616825280184274</v>
      </c>
      <c r="E96" s="332">
        <f t="shared" ref="E96:O96" si="85">E95/D95-1</f>
        <v>1.7340735723874046</v>
      </c>
      <c r="F96" s="332">
        <f t="shared" si="85"/>
        <v>0.37304139282727267</v>
      </c>
      <c r="G96" s="332">
        <f t="shared" si="85"/>
        <v>2.1573980935274406E-5</v>
      </c>
      <c r="H96" s="284"/>
      <c r="I96" s="164">
        <f t="shared" si="85"/>
        <v>0.26132705815589574</v>
      </c>
      <c r="J96" s="164">
        <f t="shared" si="85"/>
        <v>0.26124792767016536</v>
      </c>
      <c r="K96" s="164">
        <f t="shared" si="85"/>
        <v>0.26118682862095843</v>
      </c>
      <c r="L96" s="164">
        <f t="shared" si="85"/>
        <v>0.26116818273380793</v>
      </c>
      <c r="M96" s="164">
        <f t="shared" si="85"/>
        <v>0.26116717385790222</v>
      </c>
      <c r="N96" s="164">
        <f t="shared" si="85"/>
        <v>0.26118326778878842</v>
      </c>
      <c r="O96" s="172">
        <f t="shared" si="85"/>
        <v>2.2610345220346106E-2</v>
      </c>
      <c r="P96" s="172">
        <f t="shared" ref="P96:AH96" si="86">P95/O95-1</f>
        <v>2.2609208042301709E-2</v>
      </c>
      <c r="Q96" s="172">
        <f t="shared" si="86"/>
        <v>2.2607869417198057E-2</v>
      </c>
      <c r="R96" s="172">
        <f t="shared" si="86"/>
        <v>2.2603953289114687E-2</v>
      </c>
      <c r="S96" s="172">
        <f t="shared" si="86"/>
        <v>2.2602809053342554E-2</v>
      </c>
      <c r="T96" s="172">
        <f t="shared" si="86"/>
        <v>2.2601802171499541E-2</v>
      </c>
      <c r="U96" s="172">
        <f t="shared" si="86"/>
        <v>2.2599454733153168E-2</v>
      </c>
      <c r="V96" s="172">
        <f t="shared" si="86"/>
        <v>2.2598122132793996E-2</v>
      </c>
      <c r="W96" s="172">
        <f t="shared" si="86"/>
        <v>2.2596422131803795E-2</v>
      </c>
      <c r="X96" s="185">
        <f t="shared" si="86"/>
        <v>2.2597742315096037E-2</v>
      </c>
      <c r="Y96" s="172">
        <f t="shared" si="86"/>
        <v>7.7666971736560786E-3</v>
      </c>
      <c r="Z96" s="172">
        <f t="shared" si="86"/>
        <v>7.7650840015510703E-3</v>
      </c>
      <c r="AA96" s="172">
        <f t="shared" si="86"/>
        <v>7.7640157564520251E-3</v>
      </c>
      <c r="AB96" s="172">
        <f t="shared" si="86"/>
        <v>7.7626573229432339E-3</v>
      </c>
      <c r="AC96" s="172">
        <f t="shared" si="86"/>
        <v>7.7623189748132759E-3</v>
      </c>
      <c r="AD96" s="172">
        <f t="shared" si="86"/>
        <v>7.7618110434547471E-3</v>
      </c>
      <c r="AE96" s="172">
        <f t="shared" si="86"/>
        <v>7.7617031971555228E-3</v>
      </c>
      <c r="AF96" s="172">
        <f t="shared" si="86"/>
        <v>7.7612264974742384E-3</v>
      </c>
      <c r="AG96" s="172">
        <f t="shared" si="86"/>
        <v>7.7602706858925785E-3</v>
      </c>
      <c r="AH96" s="185">
        <f t="shared" si="86"/>
        <v>7.7594622875489794E-3</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246.89849999999998</v>
      </c>
      <c r="D102" s="331">
        <f>D31*Inputs!$C$48</f>
        <v>289.49877758855177</v>
      </c>
      <c r="E102" s="331">
        <f>E31*Inputs!$C$48</f>
        <v>318.80203479801469</v>
      </c>
      <c r="F102" s="331">
        <f>F31*Inputs!$C$48</f>
        <v>281.14625669724978</v>
      </c>
      <c r="G102" s="331">
        <f>G31*Inputs!$C$48</f>
        <v>331.58787913575969</v>
      </c>
      <c r="H102" s="402">
        <f>H31*Inputs!$C$48</f>
        <v>332.32986938173025</v>
      </c>
      <c r="I102" s="14">
        <f>I31*Inputs!$C$48</f>
        <v>335.63938394648932</v>
      </c>
      <c r="J102" s="14">
        <f>J31*Inputs!$C$48</f>
        <v>342.60809884259538</v>
      </c>
      <c r="K102" s="14">
        <f>K31*Inputs!$C$48</f>
        <v>358.22674462807953</v>
      </c>
      <c r="L102" s="14">
        <f>L31*Inputs!$C$48</f>
        <v>371.69418300128405</v>
      </c>
      <c r="M102" s="14">
        <f>M31*Inputs!$C$48</f>
        <v>384.28309883572246</v>
      </c>
      <c r="N102" s="182">
        <f>N31*Inputs!$C$48</f>
        <v>395.42637360811722</v>
      </c>
      <c r="O102" s="14">
        <f>O31*Inputs!$C$48</f>
        <v>400.17359027895827</v>
      </c>
      <c r="P102" s="14">
        <f>P31*Inputs!$C$48</f>
        <v>403.51044118647752</v>
      </c>
      <c r="Q102" s="14">
        <f>Q31*Inputs!$C$48</f>
        <v>405.98474207161024</v>
      </c>
      <c r="R102" s="14">
        <f>R31*Inputs!$C$48</f>
        <v>409.64188211130892</v>
      </c>
      <c r="S102" s="14">
        <f>S31*Inputs!$C$48</f>
        <v>412.49962449915836</v>
      </c>
      <c r="T102" s="14">
        <f>T31*Inputs!$C$48</f>
        <v>414.64940340036384</v>
      </c>
      <c r="U102" s="14">
        <f>U31*Inputs!$C$48</f>
        <v>417.04638857051947</v>
      </c>
      <c r="V102" s="14">
        <f>V31*Inputs!$C$48</f>
        <v>419.11166646120046</v>
      </c>
      <c r="W102" s="14">
        <f>W31*Inputs!$C$48</f>
        <v>421.12597509658724</v>
      </c>
      <c r="X102" s="187">
        <f>X31*Inputs!$C$48</f>
        <v>421.5029191804835</v>
      </c>
      <c r="Y102" s="158">
        <f>Y31*Inputs!$C$48</f>
        <v>423.13920827002124</v>
      </c>
      <c r="Z102" s="158">
        <f>Z31*Inputs!$C$48</f>
        <v>425.32424273714997</v>
      </c>
      <c r="AA102" s="158">
        <f>AA31*Inputs!$C$48</f>
        <v>427.73459524043</v>
      </c>
      <c r="AB102" s="158">
        <f>AB31*Inputs!$C$48</f>
        <v>430.48352316580417</v>
      </c>
      <c r="AC102" s="158">
        <f>AC31*Inputs!$C$48</f>
        <v>433.08474518743458</v>
      </c>
      <c r="AD102" s="158">
        <f>AD31*Inputs!$C$48</f>
        <v>435.62931379797874</v>
      </c>
      <c r="AE102" s="158">
        <f>AE31*Inputs!$C$48</f>
        <v>437.95670914324381</v>
      </c>
      <c r="AF102" s="158">
        <f>AF31*Inputs!$C$48</f>
        <v>440.23935672712338</v>
      </c>
      <c r="AG102" s="158">
        <f>AG31*Inputs!$C$48</f>
        <v>442.67465159461278</v>
      </c>
      <c r="AH102" s="187">
        <f>AH31*Inputs!$C$48</f>
        <v>445.1963100906309</v>
      </c>
    </row>
    <row r="103" spans="1:36">
      <c r="A103" s="10" t="s">
        <v>59</v>
      </c>
      <c r="B103" s="35">
        <v>0</v>
      </c>
      <c r="C103" s="331">
        <f>C32*Inputs!$C$53</f>
        <v>0</v>
      </c>
      <c r="D103" s="331">
        <f>D32*Inputs!$C$53</f>
        <v>0</v>
      </c>
      <c r="E103" s="331">
        <f>E32*Inputs!$C$53</f>
        <v>0</v>
      </c>
      <c r="F103" s="331">
        <f>F32*Inputs!$C$53</f>
        <v>0</v>
      </c>
      <c r="G103" s="331">
        <f>G32*Inputs!$C$53</f>
        <v>0</v>
      </c>
      <c r="H103" s="402">
        <f>H32*Inputs!$C$53</f>
        <v>0</v>
      </c>
      <c r="I103" s="14">
        <f>I32*Inputs!$C$53</f>
        <v>0</v>
      </c>
      <c r="J103" s="14">
        <f>J32*Inputs!$C$53</f>
        <v>0</v>
      </c>
      <c r="K103" s="14">
        <f>K32*Inputs!$C$53</f>
        <v>0</v>
      </c>
      <c r="L103" s="14">
        <f>L32*Inputs!$C$53</f>
        <v>0</v>
      </c>
      <c r="M103" s="14">
        <f>M32*Inputs!$C$53</f>
        <v>0</v>
      </c>
      <c r="N103" s="182">
        <f>N32*Inputs!$C$53</f>
        <v>0</v>
      </c>
      <c r="O103" s="14">
        <f>O32*Inputs!$C$53</f>
        <v>0</v>
      </c>
      <c r="P103" s="14">
        <f>P32*Inputs!$C$53</f>
        <v>0</v>
      </c>
      <c r="Q103" s="14">
        <f>Q32*Inputs!$C$53</f>
        <v>0</v>
      </c>
      <c r="R103" s="14">
        <f>R32*Inputs!$C$53</f>
        <v>0</v>
      </c>
      <c r="S103" s="14">
        <f>S32*Inputs!$C$53</f>
        <v>0</v>
      </c>
      <c r="T103" s="14">
        <f>T32*Inputs!$C$53</f>
        <v>0</v>
      </c>
      <c r="U103" s="14">
        <f>U32*Inputs!$C$53</f>
        <v>0</v>
      </c>
      <c r="V103" s="14">
        <f>V32*Inputs!$C$53</f>
        <v>0</v>
      </c>
      <c r="W103" s="14">
        <f>W32*Inputs!$C$53</f>
        <v>0</v>
      </c>
      <c r="X103" s="187">
        <f>X32*Inputs!$C$53</f>
        <v>0</v>
      </c>
      <c r="Y103" s="158">
        <f>Y32*Inputs!$C$53</f>
        <v>0</v>
      </c>
      <c r="Z103" s="158">
        <f>Z32*Inputs!$C$53</f>
        <v>0</v>
      </c>
      <c r="AA103" s="158">
        <f>AA32*Inputs!$C$53</f>
        <v>0</v>
      </c>
      <c r="AB103" s="158">
        <f>AB32*Inputs!$C$53</f>
        <v>0</v>
      </c>
      <c r="AC103" s="158">
        <f>AC32*Inputs!$C$53</f>
        <v>0</v>
      </c>
      <c r="AD103" s="158">
        <f>AD32*Inputs!$C$53</f>
        <v>0</v>
      </c>
      <c r="AE103" s="158">
        <f>AE32*Inputs!$C$53</f>
        <v>0</v>
      </c>
      <c r="AF103" s="158">
        <f>AF32*Inputs!$C$53</f>
        <v>0</v>
      </c>
      <c r="AG103" s="158">
        <f>AG32*Inputs!$C$53</f>
        <v>0</v>
      </c>
      <c r="AH103" s="187">
        <f>AH32*Inputs!$C$53</f>
        <v>0</v>
      </c>
    </row>
    <row r="104" spans="1:36">
      <c r="A104" s="10" t="s">
        <v>121</v>
      </c>
      <c r="B104" s="35">
        <v>1</v>
      </c>
      <c r="C104" s="331">
        <f>C34*Inputs!$C$46</f>
        <v>0.21</v>
      </c>
      <c r="D104" s="331">
        <f>D34*Inputs!$C$46</f>
        <v>0.40252883244828508</v>
      </c>
      <c r="E104" s="331">
        <f>E34*Inputs!$C$46</f>
        <v>0.72514823104967185</v>
      </c>
      <c r="F104" s="331">
        <f>F34*Inputs!$C$46</f>
        <v>1.0468485770647251</v>
      </c>
      <c r="G104" s="331">
        <f>G34*Inputs!$C$46</f>
        <v>2.0224230716236451</v>
      </c>
      <c r="H104" s="402">
        <f>H34*Inputs!$C$46</f>
        <v>5.4628514062500001E-2</v>
      </c>
      <c r="I104" s="14">
        <f>I34*Inputs!$C$46</f>
        <v>9.0089070706374313E-2</v>
      </c>
      <c r="J104" s="14">
        <f>J34*Inputs!$C$46</f>
        <v>0.15027212511246285</v>
      </c>
      <c r="K104" s="14">
        <f>K34*Inputs!$C$46</f>
        <v>0.25694205296183958</v>
      </c>
      <c r="L104" s="14">
        <f>L34*Inputs!$C$46</f>
        <v>0.43627246768534861</v>
      </c>
      <c r="M104" s="14">
        <f>M34*Inputs!$C$46</f>
        <v>0.7385869083799419</v>
      </c>
      <c r="N104" s="182">
        <f>N34*Inputs!$C$46</f>
        <v>1.2452705207362667</v>
      </c>
      <c r="O104" s="14">
        <f>O34*Inputs!$C$46</f>
        <v>1.2820913722829808</v>
      </c>
      <c r="P104" s="14">
        <f>P34*Inputs!$C$46</f>
        <v>1.315252345659419</v>
      </c>
      <c r="Q104" s="14">
        <f>Q34*Inputs!$C$46</f>
        <v>1.3463529786308928</v>
      </c>
      <c r="R104" s="14">
        <f>R34*Inputs!$C$46</f>
        <v>1.3821638846020607</v>
      </c>
      <c r="S104" s="14">
        <f>S34*Inputs!$C$46</f>
        <v>1.4161056268438506</v>
      </c>
      <c r="T104" s="14">
        <f>T34*Inputs!$C$46</f>
        <v>1.4483744935270015</v>
      </c>
      <c r="U104" s="14">
        <f>U34*Inputs!$C$46</f>
        <v>1.4822540391184527</v>
      </c>
      <c r="V104" s="14">
        <f>V34*Inputs!$C$46</f>
        <v>1.5157134296082602</v>
      </c>
      <c r="W104" s="14">
        <f>W34*Inputs!$C$46</f>
        <v>1.5497404222311852</v>
      </c>
      <c r="X104" s="187">
        <f>X34*Inputs!$C$46</f>
        <v>1.578401592856036</v>
      </c>
      <c r="Y104" s="158">
        <f>Y34*Inputs!$C$46</f>
        <v>1.5874373619152238</v>
      </c>
      <c r="Z104" s="158">
        <f>Z34*Inputs!$C$46</f>
        <v>1.5986180381179789</v>
      </c>
      <c r="AA104" s="158">
        <f>AA34*Inputs!$C$46</f>
        <v>1.6107378294615742</v>
      </c>
      <c r="AB104" s="158">
        <f>AB34*Inputs!$C$46</f>
        <v>1.6242296019273832</v>
      </c>
      <c r="AC104" s="158">
        <f>AC34*Inputs!$C$46</f>
        <v>1.6372632458615555</v>
      </c>
      <c r="AD104" s="158">
        <f>AD34*Inputs!$C$46</f>
        <v>1.6501811746607207</v>
      </c>
      <c r="AE104" s="158">
        <f>AE34*Inputs!$C$46</f>
        <v>1.6623735870709446</v>
      </c>
      <c r="AF104" s="158">
        <f>AF34*Inputs!$C$46</f>
        <v>1.6744919922271231</v>
      </c>
      <c r="AG104" s="158">
        <f>AG34*Inputs!$C$46</f>
        <v>1.6872884058853199</v>
      </c>
      <c r="AH104" s="187">
        <f>AH34*Inputs!$C$46</f>
        <v>1.7005140512516901</v>
      </c>
    </row>
    <row r="105" spans="1:36">
      <c r="A105" s="10" t="s">
        <v>50</v>
      </c>
      <c r="B105" s="35">
        <v>1</v>
      </c>
      <c r="C105" s="331">
        <f>C35*Inputs!$C$49</f>
        <v>0</v>
      </c>
      <c r="D105" s="331">
        <f>D35*Inputs!$C$49</f>
        <v>0</v>
      </c>
      <c r="E105" s="331">
        <f>E35*Inputs!$C$49</f>
        <v>2.5000000000000002E-8</v>
      </c>
      <c r="F105" s="331">
        <f>F35*Inputs!$C$49</f>
        <v>2.5000000000000002E-8</v>
      </c>
      <c r="G105" s="331">
        <f>G35*Inputs!$C$49</f>
        <v>2.5000000000000002E-8</v>
      </c>
      <c r="H105" s="402">
        <f>H35*Inputs!$C$49</f>
        <v>2.5000000000000002E-8</v>
      </c>
      <c r="I105" s="14">
        <f>I35*Inputs!$C$49</f>
        <v>3.0893153812633573E-8</v>
      </c>
      <c r="J105" s="14">
        <f>J35*Inputs!$C$49</f>
        <v>3.8613403763278041E-8</v>
      </c>
      <c r="K105" s="14">
        <f>K35*Inputs!$C$49</f>
        <v>4.9472558012423823E-8</v>
      </c>
      <c r="L105" s="14">
        <f>L35*Inputs!$C$49</f>
        <v>6.2944313529970987E-8</v>
      </c>
      <c r="M105" s="14">
        <f>M35*Inputs!$C$49</f>
        <v>7.9849062049392704E-8</v>
      </c>
      <c r="N105" s="182">
        <f>N35*Inputs!$C$49</f>
        <v>1.0087915581972994E-7</v>
      </c>
      <c r="O105" s="14">
        <f>O35*Inputs!$C$49</f>
        <v>1.0386200682177566E-7</v>
      </c>
      <c r="P105" s="14">
        <f>P35*Inputs!$C$49</f>
        <v>1.0654837170769439E-7</v>
      </c>
      <c r="Q105" s="14">
        <f>Q35*Inputs!$C$49</f>
        <v>1.0906782876331196E-7</v>
      </c>
      <c r="R105" s="14">
        <f>R35*Inputs!$C$49</f>
        <v>1.1196886424383967E-7</v>
      </c>
      <c r="S105" s="14">
        <f>S35*Inputs!$C$49</f>
        <v>1.1471847908445936E-7</v>
      </c>
      <c r="T105" s="14">
        <f>T35*Inputs!$C$49</f>
        <v>1.1733257455692826E-7</v>
      </c>
      <c r="U105" s="14">
        <f>U35*Inputs!$C$49</f>
        <v>1.2007715085734604E-7</v>
      </c>
      <c r="V105" s="14">
        <f>V35*Inputs!$C$49</f>
        <v>1.2278769046351836E-7</v>
      </c>
      <c r="W105" s="14">
        <f>W35*Inputs!$C$49</f>
        <v>1.2554421142320135E-7</v>
      </c>
      <c r="X105" s="187">
        <f>X35*Inputs!$C$49</f>
        <v>1.2786604804367366E-7</v>
      </c>
      <c r="Y105" s="158">
        <f>Y35*Inputs!$C$49</f>
        <v>1.2859803417816755E-7</v>
      </c>
      <c r="Z105" s="158">
        <f>Z35*Inputs!$C$49</f>
        <v>1.2950377888025915E-7</v>
      </c>
      <c r="AA105" s="158">
        <f>AA35*Inputs!$C$49</f>
        <v>1.3048560114224468E-7</v>
      </c>
      <c r="AB105" s="158">
        <f>AB35*Inputs!$C$49</f>
        <v>1.3157856736460256E-7</v>
      </c>
      <c r="AC105" s="158">
        <f>AC35*Inputs!$C$49</f>
        <v>1.3263442067152649E-7</v>
      </c>
      <c r="AD105" s="158">
        <f>AD35*Inputs!$C$49</f>
        <v>1.336808999147906E-7</v>
      </c>
      <c r="AE105" s="158">
        <f>AE35*Inputs!$C$49</f>
        <v>1.3466860519719157E-7</v>
      </c>
      <c r="AF105" s="158">
        <f>AF35*Inputs!$C$49</f>
        <v>1.3565031516436722E-7</v>
      </c>
      <c r="AG105" s="158">
        <f>AG35*Inputs!$C$49</f>
        <v>1.3668695048646234E-7</v>
      </c>
      <c r="AH105" s="187">
        <f>AH35*Inputs!$C$49</f>
        <v>1.3775835779717374E-7</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0</v>
      </c>
      <c r="D107" s="331">
        <f>D37*Inputs!$C$52</f>
        <v>0</v>
      </c>
      <c r="E107" s="331">
        <f>E37*Inputs!$C$52</f>
        <v>6.6308775000000009E-3</v>
      </c>
      <c r="F107" s="331">
        <f>F37*Inputs!$C$52</f>
        <v>7.3093290000000007E-3</v>
      </c>
      <c r="G107" s="331">
        <f>G37*Inputs!$C$52</f>
        <v>8.9112194999999995E-3</v>
      </c>
      <c r="H107" s="402">
        <f>H37*Inputs!$C$52</f>
        <v>8.9474924999999993E-3</v>
      </c>
      <c r="I107" s="14">
        <f>I37*Inputs!$C$52</f>
        <v>1.1044900919941395E-2</v>
      </c>
      <c r="J107" s="14">
        <f>J37*Inputs!$C$52</f>
        <v>1.3790369636125356E-2</v>
      </c>
      <c r="K107" s="14">
        <f>K37*Inputs!$C$52</f>
        <v>1.7649826092231681E-2</v>
      </c>
      <c r="L107" s="14">
        <f>L37*Inputs!$C$52</f>
        <v>2.2432145273837082E-2</v>
      </c>
      <c r="M107" s="14">
        <f>M37*Inputs!$C$52</f>
        <v>2.8426433169766053E-2</v>
      </c>
      <c r="N107" s="182">
        <f>N37*Inputs!$C$52</f>
        <v>3.5875026715821365E-2</v>
      </c>
      <c r="O107" s="14">
        <f>O37*Inputs!$C$52</f>
        <v>3.6935799464345623E-2</v>
      </c>
      <c r="P107" s="14">
        <f>P37*Inputs!$C$52</f>
        <v>3.7891134699535312E-2</v>
      </c>
      <c r="Q107" s="14">
        <f>Q37*Inputs!$C$52</f>
        <v>3.87871135412017E-2</v>
      </c>
      <c r="R107" s="14">
        <f>R37*Inputs!$C$52</f>
        <v>3.9818790744701078E-2</v>
      </c>
      <c r="S107" s="14">
        <f>S37*Inputs!$C$52</f>
        <v>4.0796619167866352E-2</v>
      </c>
      <c r="T107" s="14">
        <f>T37*Inputs!$C$52</f>
        <v>4.1726253681066625E-2</v>
      </c>
      <c r="U107" s="14">
        <f>U37*Inputs!$C$52</f>
        <v>4.2702290279519613E-2</v>
      </c>
      <c r="V107" s="14">
        <f>V37*Inputs!$C$52</f>
        <v>4.3666222620106318E-2</v>
      </c>
      <c r="W107" s="14">
        <f>W37*Inputs!$C$52</f>
        <v>4.464650702343801E-2</v>
      </c>
      <c r="X107" s="187">
        <f>X37*Inputs!$C$52</f>
        <v>4.5472207338952832E-2</v>
      </c>
      <c r="Y107" s="158">
        <f>Y37*Inputs!$C$52</f>
        <v>4.5732519015009125E-2</v>
      </c>
      <c r="Z107" s="158">
        <f>Z37*Inputs!$C$52</f>
        <v>4.6054623369681906E-2</v>
      </c>
      <c r="AA107" s="158">
        <f>AA37*Inputs!$C$52</f>
        <v>4.6403782713777347E-2</v>
      </c>
      <c r="AB107" s="158">
        <f>AB37*Inputs!$C$52</f>
        <v>4.679246749318456E-2</v>
      </c>
      <c r="AC107" s="158">
        <f>AC37*Inputs!$C$52</f>
        <v>4.7167954037318341E-2</v>
      </c>
      <c r="AD107" s="158">
        <f>AD37*Inputs!$C$52</f>
        <v>4.7540106941499453E-2</v>
      </c>
      <c r="AE107" s="158">
        <f>AE37*Inputs!$C$52</f>
        <v>4.7891358427552849E-2</v>
      </c>
      <c r="AF107" s="158">
        <f>AF37*Inputs!$C$52</f>
        <v>4.8240477836943518E-2</v>
      </c>
      <c r="AG107" s="158">
        <f>AG37*Inputs!$C$52</f>
        <v>4.860913000866849E-2</v>
      </c>
      <c r="AH107" s="187">
        <f>AH37*Inputs!$C$52</f>
        <v>4.8990147926423394E-2</v>
      </c>
    </row>
    <row r="108" spans="1:36">
      <c r="A108" s="9" t="s">
        <v>347</v>
      </c>
      <c r="B108" s="35">
        <v>1</v>
      </c>
      <c r="C108" s="331">
        <f>C38*Inputs!$C$54</f>
        <v>0</v>
      </c>
      <c r="D108" s="331">
        <f>D38*Inputs!$C$54</f>
        <v>0</v>
      </c>
      <c r="E108" s="331">
        <f>E38*Inputs!$C$54</f>
        <v>1.5800000000000002E-2</v>
      </c>
      <c r="F108" s="331">
        <f>F38*Inputs!$C$54</f>
        <v>1.5800000000000002E-2</v>
      </c>
      <c r="G108" s="331">
        <f>G38*Inputs!$C$54</f>
        <v>1.5800000000000002E-2</v>
      </c>
      <c r="H108" s="402">
        <f>H38*Inputs!$C$54</f>
        <v>1.5800000000000002E-2</v>
      </c>
      <c r="I108" s="14">
        <f>I38*Inputs!$C$54</f>
        <v>1.9524473209584413E-2</v>
      </c>
      <c r="J108" s="14">
        <f>J38*Inputs!$C$54</f>
        <v>2.4403671178391716E-2</v>
      </c>
      <c r="K108" s="14">
        <f>K38*Inputs!$C$54</f>
        <v>3.1266656663851852E-2</v>
      </c>
      <c r="L108" s="14">
        <f>L38*Inputs!$C$54</f>
        <v>3.9780806150941657E-2</v>
      </c>
      <c r="M108" s="14">
        <f>M38*Inputs!$C$54</f>
        <v>5.046460721521618E-2</v>
      </c>
      <c r="N108" s="182">
        <f>N38*Inputs!$C$54</f>
        <v>6.375562647806933E-2</v>
      </c>
      <c r="O108" s="14">
        <f>O38*Inputs!$C$54</f>
        <v>6.5640788311362205E-2</v>
      </c>
      <c r="P108" s="14">
        <f>P38*Inputs!$C$54</f>
        <v>6.7338570919262847E-2</v>
      </c>
      <c r="Q108" s="14">
        <f>Q38*Inputs!$C$54</f>
        <v>6.8930867778413146E-2</v>
      </c>
      <c r="R108" s="14">
        <f>R38*Inputs!$C$54</f>
        <v>7.0764322202106669E-2</v>
      </c>
      <c r="S108" s="14">
        <f>S38*Inputs!$C$54</f>
        <v>7.2502078781378307E-2</v>
      </c>
      <c r="T108" s="14">
        <f>T38*Inputs!$C$54</f>
        <v>7.4154187119978662E-2</v>
      </c>
      <c r="U108" s="14">
        <f>U38*Inputs!$C$54</f>
        <v>7.5888759341842693E-2</v>
      </c>
      <c r="V108" s="14">
        <f>V38*Inputs!$C$54</f>
        <v>7.7601820372943608E-2</v>
      </c>
      <c r="W108" s="14">
        <f>W38*Inputs!$C$54</f>
        <v>7.9343941619463246E-2</v>
      </c>
      <c r="X108" s="187">
        <f>X38*Inputs!$C$54</f>
        <v>8.0811342363601768E-2</v>
      </c>
      <c r="Y108" s="158">
        <f>Y38*Inputs!$C$54</f>
        <v>8.1273957600601882E-2</v>
      </c>
      <c r="Z108" s="158">
        <f>Z38*Inputs!$C$54</f>
        <v>8.1846388252323751E-2</v>
      </c>
      <c r="AA108" s="158">
        <f>AA38*Inputs!$C$54</f>
        <v>8.2466899921898609E-2</v>
      </c>
      <c r="AB108" s="158">
        <f>AB38*Inputs!$C$54</f>
        <v>8.3157654574428752E-2</v>
      </c>
      <c r="AC108" s="158">
        <f>AC38*Inputs!$C$54</f>
        <v>8.3824953864404653E-2</v>
      </c>
      <c r="AD108" s="158">
        <f>AD38*Inputs!$C$54</f>
        <v>8.4486328746147546E-2</v>
      </c>
      <c r="AE108" s="158">
        <f>AE38*Inputs!$C$54</f>
        <v>8.511055848462494E-2</v>
      </c>
      <c r="AF108" s="158">
        <f>AF38*Inputs!$C$54</f>
        <v>8.5730999183879941E-2</v>
      </c>
      <c r="AG108" s="158">
        <f>AG38*Inputs!$C$54</f>
        <v>8.6386152707444028E-2</v>
      </c>
      <c r="AH108" s="187">
        <f>AH38*Inputs!$C$54</f>
        <v>8.7063282127813793E-2</v>
      </c>
    </row>
    <row r="109" spans="1:36">
      <c r="A109" s="9" t="s">
        <v>348</v>
      </c>
      <c r="B109" s="35">
        <v>1</v>
      </c>
      <c r="C109" s="331">
        <f>C39*Inputs!$C$54</f>
        <v>0</v>
      </c>
      <c r="D109" s="331">
        <f>D39*Inputs!$C$55</f>
        <v>0</v>
      </c>
      <c r="E109" s="331">
        <f>E39*Inputs!$C$55</f>
        <v>2.3E-3</v>
      </c>
      <c r="F109" s="331">
        <f>F39*Inputs!$C$55</f>
        <v>2.3E-3</v>
      </c>
      <c r="G109" s="331">
        <f>G39*Inputs!$C$55</f>
        <v>2.3E-3</v>
      </c>
      <c r="H109" s="402">
        <f>H39*Inputs!$C$55</f>
        <v>2.3E-3</v>
      </c>
      <c r="I109" s="14">
        <f>I39*Inputs!$C$55</f>
        <v>2.8421701507622878E-3</v>
      </c>
      <c r="J109" s="14">
        <f>J39*Inputs!$C$55</f>
        <v>3.5524331462215789E-3</v>
      </c>
      <c r="K109" s="14">
        <f>K39*Inputs!$C$55</f>
        <v>4.5514753371429916E-3</v>
      </c>
      <c r="L109" s="14">
        <f>L39*Inputs!$C$55</f>
        <v>5.7908768447573295E-3</v>
      </c>
      <c r="M109" s="14">
        <f>M39*Inputs!$C$55</f>
        <v>7.3461137085441275E-3</v>
      </c>
      <c r="N109" s="182">
        <f>N39*Inputs!$C$55</f>
        <v>9.2808823354151564E-3</v>
      </c>
      <c r="O109" s="14">
        <f>O39*Inputs!$C$55</f>
        <v>9.5553046276033605E-3</v>
      </c>
      <c r="P109" s="14">
        <f>P39*Inputs!$C$55</f>
        <v>9.8024501971078828E-3</v>
      </c>
      <c r="Q109" s="14">
        <f>Q39*Inputs!$C$55</f>
        <v>1.0034240246224698E-2</v>
      </c>
      <c r="R109" s="14">
        <f>R39*Inputs!$C$55</f>
        <v>1.0301135510433251E-2</v>
      </c>
      <c r="S109" s="14">
        <f>S39*Inputs!$C$55</f>
        <v>1.055410007577026E-2</v>
      </c>
      <c r="T109" s="14">
        <f>T39*Inputs!$C$55</f>
        <v>1.07945968592374E-2</v>
      </c>
      <c r="U109" s="14">
        <f>U39*Inputs!$C$55</f>
        <v>1.1047097878875835E-2</v>
      </c>
      <c r="V109" s="14">
        <f>V39*Inputs!$C$55</f>
        <v>1.129646752264369E-2</v>
      </c>
      <c r="W109" s="14">
        <f>W39*Inputs!$C$55</f>
        <v>1.1550067450934523E-2</v>
      </c>
      <c r="X109" s="187">
        <f>X39*Inputs!$C$55</f>
        <v>1.1763676420017979E-2</v>
      </c>
      <c r="Y109" s="158">
        <f>Y39*Inputs!$C$55</f>
        <v>1.1831019144391414E-2</v>
      </c>
      <c r="Z109" s="158">
        <f>Z39*Inputs!$C$55</f>
        <v>1.1914347656983838E-2</v>
      </c>
      <c r="AA109" s="158">
        <f>AA39*Inputs!$C$55</f>
        <v>1.2004675305086506E-2</v>
      </c>
      <c r="AB109" s="158">
        <f>AB39*Inputs!$C$55</f>
        <v>1.2105228197543425E-2</v>
      </c>
      <c r="AC109" s="158">
        <f>AC39*Inputs!$C$55</f>
        <v>1.2202366701780425E-2</v>
      </c>
      <c r="AD109" s="158">
        <f>AD39*Inputs!$C$55</f>
        <v>1.2298642792160717E-2</v>
      </c>
      <c r="AE109" s="158">
        <f>AE39*Inputs!$C$55</f>
        <v>1.2389511678141606E-2</v>
      </c>
      <c r="AF109" s="158">
        <f>AF39*Inputs!$C$55</f>
        <v>1.2479828995121763E-2</v>
      </c>
      <c r="AG109" s="158">
        <f>AG39*Inputs!$C$55</f>
        <v>1.2575199444754511E-2</v>
      </c>
      <c r="AH109" s="187">
        <f>AH39*Inputs!$C$55</f>
        <v>1.2673768917339984E-2</v>
      </c>
    </row>
    <row r="110" spans="1:36">
      <c r="A110" s="9" t="s">
        <v>344</v>
      </c>
      <c r="B110" s="35">
        <v>1</v>
      </c>
      <c r="C110" s="331">
        <f>C40*Inputs!$C$51</f>
        <v>2.7000000000000001E-3</v>
      </c>
      <c r="D110" s="331">
        <f>D40*Inputs!$C$51</f>
        <v>3.8780283667928382E-3</v>
      </c>
      <c r="E110" s="331">
        <f>E40*Inputs!$C$51</f>
        <v>5.2349230028140891E-3</v>
      </c>
      <c r="F110" s="331">
        <f>F40*Inputs!$C$51</f>
        <v>5.6628739137112982E-3</v>
      </c>
      <c r="G110" s="331">
        <f>G40*Inputs!$C$51</f>
        <v>8.1977478212822748E-3</v>
      </c>
      <c r="H110" s="402">
        <f>H40*Inputs!$C$51</f>
        <v>2.7000000000000001E-3</v>
      </c>
      <c r="I110" s="14">
        <f>I40*Inputs!$C$51</f>
        <v>3.336460611764425E-3</v>
      </c>
      <c r="J110" s="14">
        <f>J40*Inputs!$C$51</f>
        <v>4.1702476064340273E-3</v>
      </c>
      <c r="K110" s="14">
        <f>K40*Inputs!$C$51</f>
        <v>5.3430362653417727E-3</v>
      </c>
      <c r="L110" s="14">
        <f>L40*Inputs!$C$51</f>
        <v>6.797985861236866E-3</v>
      </c>
      <c r="M110" s="14">
        <f>M40*Inputs!$C$51</f>
        <v>8.6236987013344115E-3</v>
      </c>
      <c r="N110" s="182">
        <f>N40*Inputs!$C$51</f>
        <v>1.0894948828530836E-2</v>
      </c>
      <c r="O110" s="14">
        <f>O40*Inputs!$C$51</f>
        <v>1.121709673675177E-2</v>
      </c>
      <c r="P110" s="14">
        <f>P40*Inputs!$C$51</f>
        <v>1.1507224144430993E-2</v>
      </c>
      <c r="Q110" s="14">
        <f>Q40*Inputs!$C$51</f>
        <v>1.1779325506437691E-2</v>
      </c>
      <c r="R110" s="14">
        <f>R40*Inputs!$C$51</f>
        <v>1.2092637338334685E-2</v>
      </c>
      <c r="S110" s="14">
        <f>S40*Inputs!$C$51</f>
        <v>1.238959574112161E-2</v>
      </c>
      <c r="T110" s="14">
        <f>T40*Inputs!$C$51</f>
        <v>1.2671918052148253E-2</v>
      </c>
      <c r="U110" s="14">
        <f>U40*Inputs!$C$51</f>
        <v>1.2968332292593372E-2</v>
      </c>
      <c r="V110" s="14">
        <f>V40*Inputs!$C$51</f>
        <v>1.3261070570059983E-2</v>
      </c>
      <c r="W110" s="14">
        <f>W40*Inputs!$C$51</f>
        <v>1.3558774833705744E-2</v>
      </c>
      <c r="X110" s="187">
        <f>X40*Inputs!$C$51</f>
        <v>1.3809533188716758E-2</v>
      </c>
      <c r="Y110" s="158">
        <f>Y40*Inputs!$C$51</f>
        <v>1.3888587691242094E-2</v>
      </c>
      <c r="Z110" s="158">
        <f>Z40*Inputs!$C$51</f>
        <v>1.3986408119067983E-2</v>
      </c>
      <c r="AA110" s="158">
        <f>AA40*Inputs!$C$51</f>
        <v>1.409244492336242E-2</v>
      </c>
      <c r="AB110" s="158">
        <f>AB40*Inputs!$C$51</f>
        <v>1.4210485275377065E-2</v>
      </c>
      <c r="AC110" s="158">
        <f>AC40*Inputs!$C$51</f>
        <v>1.4324517432524846E-2</v>
      </c>
      <c r="AD110" s="158">
        <f>AD40*Inputs!$C$51</f>
        <v>1.4437537190797364E-2</v>
      </c>
      <c r="AE110" s="158">
        <f>AE40*Inputs!$C$51</f>
        <v>1.4544209361296669E-2</v>
      </c>
      <c r="AF110" s="158">
        <f>AF40*Inputs!$C$51</f>
        <v>1.4650234037751635E-2</v>
      </c>
      <c r="AG110" s="158">
        <f>AG40*Inputs!$C$51</f>
        <v>1.4762190652537904E-2</v>
      </c>
      <c r="AH110" s="187">
        <f>AH40*Inputs!$C$51</f>
        <v>1.4877902642094763E-2</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126.14000000000001</v>
      </c>
      <c r="D112" s="331">
        <f>D42*Inputs!$C$57</f>
        <v>181.57462914730931</v>
      </c>
      <c r="E112" s="331">
        <f>E42*Inputs!$C$57</f>
        <v>532.9137475</v>
      </c>
      <c r="F112" s="331">
        <f>F42*Inputs!$C$57</f>
        <v>628.86944000000005</v>
      </c>
      <c r="G112" s="331">
        <f>G42*Inputs!$C$57</f>
        <v>722.81654000000003</v>
      </c>
      <c r="H112" s="402">
        <f>H42*Inputs!$C$57</f>
        <v>724.54459000000008</v>
      </c>
      <c r="I112" s="14">
        <f>I42*Inputs!$C$57</f>
        <v>897.30993830984085</v>
      </c>
      <c r="J112" s="14">
        <f>J42*Inputs!$C$57</f>
        <v>1124.0184482357843</v>
      </c>
      <c r="K112" s="14">
        <f>K42*Inputs!$C$57</f>
        <v>1443.2941164413432</v>
      </c>
      <c r="L112" s="14">
        <f>L42*Inputs!$C$57</f>
        <v>1840.3570877085174</v>
      </c>
      <c r="M112" s="14">
        <f>M42*Inputs!$C$57</f>
        <v>2339.7558266641222</v>
      </c>
      <c r="N112" s="182">
        <f>N42*Inputs!$C$57</f>
        <v>2962.4926364436715</v>
      </c>
      <c r="O112" s="14">
        <f>O42*Inputs!$C$57</f>
        <v>3050.0892668611596</v>
      </c>
      <c r="P112" s="14">
        <f>P42*Inputs!$C$57</f>
        <v>3128.9790645469825</v>
      </c>
      <c r="Q112" s="14">
        <f>Q42*Inputs!$C$57</f>
        <v>3202.9673222247225</v>
      </c>
      <c r="R112" s="14">
        <f>R42*Inputs!$C$57</f>
        <v>3288.1612969292996</v>
      </c>
      <c r="S112" s="14">
        <f>S42*Inputs!$C$57</f>
        <v>3368.908540026262</v>
      </c>
      <c r="T112" s="14">
        <f>T42*Inputs!$C$57</f>
        <v>3445.6760201386924</v>
      </c>
      <c r="U112" s="14">
        <f>U42*Inputs!$C$57</f>
        <v>3526.2752977007995</v>
      </c>
      <c r="V112" s="14">
        <f>V42*Inputs!$C$57</f>
        <v>3605.8750282776878</v>
      </c>
      <c r="W112" s="14">
        <f>W42*Inputs!$C$57</f>
        <v>3686.825081625243</v>
      </c>
      <c r="X112" s="187">
        <f>X42*Inputs!$C$57</f>
        <v>3755.0098700018048</v>
      </c>
      <c r="Y112" s="158">
        <f>Y42*Inputs!$C$57</f>
        <v>3776.5059215477954</v>
      </c>
      <c r="Z112" s="158">
        <f>Z42*Inputs!$C$57</f>
        <v>3803.1046969701342</v>
      </c>
      <c r="AA112" s="158">
        <f>AA42*Inputs!$C$57</f>
        <v>3831.9376228386486</v>
      </c>
      <c r="AB112" s="158">
        <f>AB42*Inputs!$C$57</f>
        <v>3864.0344852608805</v>
      </c>
      <c r="AC112" s="158">
        <f>AC42*Inputs!$C$57</f>
        <v>3895.0414620888428</v>
      </c>
      <c r="AD112" s="158">
        <f>AD42*Inputs!$C$57</f>
        <v>3925.7731531618824</v>
      </c>
      <c r="AE112" s="158">
        <f>AE42*Inputs!$C$57</f>
        <v>3954.7788442019441</v>
      </c>
      <c r="AF112" s="158">
        <f>AF42*Inputs!$C$57</f>
        <v>3983.6084723371982</v>
      </c>
      <c r="AG112" s="158">
        <f>AG42*Inputs!$C$57</f>
        <v>4014.0510794687648</v>
      </c>
      <c r="AH112" s="187">
        <f>AH42*Inputs!$C$57</f>
        <v>4045.5148267892423</v>
      </c>
      <c r="AI112" s="31" t="s">
        <v>0</v>
      </c>
    </row>
    <row r="113" spans="1:35" s="20" customFormat="1">
      <c r="A113" s="10" t="s">
        <v>384</v>
      </c>
      <c r="B113" s="37"/>
      <c r="C113" s="334">
        <f>SUM(C100:C112)</f>
        <v>373.25120000000004</v>
      </c>
      <c r="D113" s="334">
        <f t="shared" ref="D113:AH113" si="87">SUM(D100:D112)</f>
        <v>471.47981359667619</v>
      </c>
      <c r="E113" s="334">
        <f t="shared" si="87"/>
        <v>852.47089635456723</v>
      </c>
      <c r="F113" s="334">
        <f t="shared" si="87"/>
        <v>911.09361750222831</v>
      </c>
      <c r="G113" s="334">
        <f t="shared" si="87"/>
        <v>1056.4620511997045</v>
      </c>
      <c r="H113" s="404">
        <f t="shared" si="87"/>
        <v>1056.9588354132929</v>
      </c>
      <c r="I113" s="19">
        <f t="shared" si="87"/>
        <v>1233.0761593628217</v>
      </c>
      <c r="J113" s="19">
        <f t="shared" si="87"/>
        <v>1466.8227359636726</v>
      </c>
      <c r="K113" s="19">
        <f t="shared" si="87"/>
        <v>1801.8366141662157</v>
      </c>
      <c r="L113" s="19">
        <f t="shared" si="87"/>
        <v>2212.5623450545618</v>
      </c>
      <c r="M113" s="19">
        <f t="shared" si="87"/>
        <v>2724.8723733408688</v>
      </c>
      <c r="N113" s="182">
        <f t="shared" si="87"/>
        <v>3359.2840871577619</v>
      </c>
      <c r="O113" s="19">
        <f t="shared" si="87"/>
        <v>3451.668297605403</v>
      </c>
      <c r="P113" s="19">
        <f t="shared" si="87"/>
        <v>3533.931297565628</v>
      </c>
      <c r="Q113" s="19">
        <f t="shared" si="87"/>
        <v>3610.4279489311039</v>
      </c>
      <c r="R113" s="19">
        <f t="shared" si="87"/>
        <v>3699.3183199229752</v>
      </c>
      <c r="S113" s="19">
        <f t="shared" si="87"/>
        <v>3782.9605126607489</v>
      </c>
      <c r="T113" s="19">
        <f t="shared" si="87"/>
        <v>3861.9131451056282</v>
      </c>
      <c r="U113" s="19">
        <f t="shared" si="87"/>
        <v>3944.9465469103075</v>
      </c>
      <c r="V113" s="19">
        <f t="shared" si="87"/>
        <v>4026.6482338723699</v>
      </c>
      <c r="W113" s="19">
        <f t="shared" si="87"/>
        <v>4109.6498965605333</v>
      </c>
      <c r="X113" s="182">
        <f t="shared" si="87"/>
        <v>4178.2430476623213</v>
      </c>
      <c r="Y113" s="206">
        <f t="shared" si="87"/>
        <v>4201.3852933917815</v>
      </c>
      <c r="Z113" s="206">
        <f t="shared" si="87"/>
        <v>4230.1813596423044</v>
      </c>
      <c r="AA113" s="206">
        <f t="shared" si="87"/>
        <v>4261.4379238418896</v>
      </c>
      <c r="AB113" s="206">
        <f t="shared" si="87"/>
        <v>4296.2985039957312</v>
      </c>
      <c r="AC113" s="206">
        <f t="shared" si="87"/>
        <v>4329.9209904468089</v>
      </c>
      <c r="AD113" s="206">
        <f t="shared" si="87"/>
        <v>4363.2114108838732</v>
      </c>
      <c r="AE113" s="206">
        <f t="shared" si="87"/>
        <v>4394.557862704879</v>
      </c>
      <c r="AF113" s="206">
        <f t="shared" si="87"/>
        <v>4425.6834227322524</v>
      </c>
      <c r="AG113" s="206">
        <f t="shared" si="87"/>
        <v>4458.5753522787636</v>
      </c>
      <c r="AH113" s="182">
        <f t="shared" si="87"/>
        <v>4492.5752561704967</v>
      </c>
      <c r="AI113" s="31" t="s">
        <v>0</v>
      </c>
    </row>
    <row r="114" spans="1:35" s="20" customFormat="1">
      <c r="A114" s="10" t="s">
        <v>385</v>
      </c>
      <c r="B114" s="37"/>
      <c r="C114" s="334">
        <f>SUM(C101:C103)</f>
        <v>246.89849999999998</v>
      </c>
      <c r="D114" s="334">
        <f t="shared" ref="D114:AH114" si="88">SUM(D101:D103)</f>
        <v>289.49877758855177</v>
      </c>
      <c r="E114" s="334">
        <f t="shared" si="88"/>
        <v>318.80203479801469</v>
      </c>
      <c r="F114" s="334">
        <f t="shared" si="88"/>
        <v>281.14625669724978</v>
      </c>
      <c r="G114" s="334">
        <f t="shared" si="88"/>
        <v>331.58787913575969</v>
      </c>
      <c r="H114" s="404">
        <f t="shared" si="88"/>
        <v>332.32986938173025</v>
      </c>
      <c r="I114" s="19">
        <f t="shared" si="88"/>
        <v>335.63938394648932</v>
      </c>
      <c r="J114" s="19">
        <f t="shared" si="88"/>
        <v>342.60809884259538</v>
      </c>
      <c r="K114" s="19">
        <f t="shared" si="88"/>
        <v>358.22674462807953</v>
      </c>
      <c r="L114" s="19">
        <f t="shared" si="88"/>
        <v>371.69418300128405</v>
      </c>
      <c r="M114" s="19">
        <f t="shared" si="88"/>
        <v>384.28309883572246</v>
      </c>
      <c r="N114" s="182">
        <f t="shared" si="88"/>
        <v>395.42637360811722</v>
      </c>
      <c r="O114" s="19">
        <f t="shared" si="88"/>
        <v>400.17359027895827</v>
      </c>
      <c r="P114" s="19">
        <f t="shared" si="88"/>
        <v>403.51044118647752</v>
      </c>
      <c r="Q114" s="19">
        <f t="shared" si="88"/>
        <v>405.98474207161024</v>
      </c>
      <c r="R114" s="19">
        <f t="shared" si="88"/>
        <v>409.64188211130892</v>
      </c>
      <c r="S114" s="19">
        <f t="shared" si="88"/>
        <v>412.49962449915836</v>
      </c>
      <c r="T114" s="19">
        <f t="shared" si="88"/>
        <v>414.64940340036384</v>
      </c>
      <c r="U114" s="19">
        <f t="shared" si="88"/>
        <v>417.04638857051947</v>
      </c>
      <c r="V114" s="19">
        <f t="shared" si="88"/>
        <v>419.11166646120046</v>
      </c>
      <c r="W114" s="19">
        <f t="shared" si="88"/>
        <v>421.12597509658724</v>
      </c>
      <c r="X114" s="182">
        <f t="shared" si="88"/>
        <v>421.5029191804835</v>
      </c>
      <c r="Y114" s="206">
        <f t="shared" si="88"/>
        <v>423.13920827002124</v>
      </c>
      <c r="Z114" s="206">
        <f t="shared" si="88"/>
        <v>425.32424273714997</v>
      </c>
      <c r="AA114" s="206">
        <f t="shared" si="88"/>
        <v>427.73459524043</v>
      </c>
      <c r="AB114" s="206">
        <f t="shared" si="88"/>
        <v>430.48352316580417</v>
      </c>
      <c r="AC114" s="206">
        <f t="shared" si="88"/>
        <v>433.08474518743458</v>
      </c>
      <c r="AD114" s="206">
        <f t="shared" si="88"/>
        <v>435.62931379797874</v>
      </c>
      <c r="AE114" s="206">
        <f t="shared" si="88"/>
        <v>437.95670914324381</v>
      </c>
      <c r="AF114" s="206">
        <f t="shared" si="88"/>
        <v>440.23935672712338</v>
      </c>
      <c r="AG114" s="206">
        <f t="shared" si="88"/>
        <v>442.67465159461278</v>
      </c>
      <c r="AH114" s="182">
        <f t="shared" si="88"/>
        <v>445.1963100906309</v>
      </c>
      <c r="AI114" s="31"/>
    </row>
    <row r="115" spans="1:35" s="20" customFormat="1">
      <c r="A115" s="10" t="s">
        <v>386</v>
      </c>
      <c r="B115" s="37"/>
      <c r="C115" s="334">
        <f>SUMPRODUCT($B104:$B112,C104:C112)</f>
        <v>126.35270000000001</v>
      </c>
      <c r="D115" s="334">
        <f t="shared" ref="D115:AH115" si="89">SUMPRODUCT($B104:$B112,D104:D112)</f>
        <v>181.98103600812439</v>
      </c>
      <c r="E115" s="334">
        <f t="shared" si="89"/>
        <v>533.66886155655243</v>
      </c>
      <c r="F115" s="334">
        <f t="shared" si="89"/>
        <v>629.94736080497853</v>
      </c>
      <c r="G115" s="334">
        <f t="shared" si="89"/>
        <v>724.87417206394491</v>
      </c>
      <c r="H115" s="404">
        <f t="shared" si="89"/>
        <v>724.62896603156264</v>
      </c>
      <c r="I115" s="19">
        <f t="shared" si="89"/>
        <v>897.43677541633247</v>
      </c>
      <c r="J115" s="19">
        <f t="shared" si="89"/>
        <v>1124.2146371210772</v>
      </c>
      <c r="K115" s="19">
        <f t="shared" si="89"/>
        <v>1443.6098695381363</v>
      </c>
      <c r="L115" s="19">
        <f t="shared" si="89"/>
        <v>1840.8681620532777</v>
      </c>
      <c r="M115" s="19">
        <f t="shared" si="89"/>
        <v>2340.589274505146</v>
      </c>
      <c r="N115" s="182">
        <f t="shared" si="89"/>
        <v>2963.8577135496448</v>
      </c>
      <c r="O115" s="19">
        <f t="shared" si="89"/>
        <v>3051.4947073264448</v>
      </c>
      <c r="P115" s="19">
        <f t="shared" si="89"/>
        <v>3130.4208563791508</v>
      </c>
      <c r="Q115" s="19">
        <f t="shared" si="89"/>
        <v>3204.4432068594933</v>
      </c>
      <c r="R115" s="19">
        <f t="shared" si="89"/>
        <v>3289.6764378116663</v>
      </c>
      <c r="S115" s="19">
        <f t="shared" si="89"/>
        <v>3370.4608881615904</v>
      </c>
      <c r="T115" s="19">
        <f t="shared" si="89"/>
        <v>3447.2637417052642</v>
      </c>
      <c r="U115" s="19">
        <f t="shared" si="89"/>
        <v>3527.900158339788</v>
      </c>
      <c r="V115" s="19">
        <f t="shared" si="89"/>
        <v>3607.5365674111695</v>
      </c>
      <c r="W115" s="19">
        <f t="shared" si="89"/>
        <v>3688.523921463946</v>
      </c>
      <c r="X115" s="182">
        <f t="shared" si="89"/>
        <v>3756.7401284818379</v>
      </c>
      <c r="Y115" s="206">
        <f t="shared" si="89"/>
        <v>3778.2460851217597</v>
      </c>
      <c r="Z115" s="206">
        <f t="shared" si="89"/>
        <v>3804.8571169051538</v>
      </c>
      <c r="AA115" s="206">
        <f t="shared" si="89"/>
        <v>3833.7033286014598</v>
      </c>
      <c r="AB115" s="206">
        <f t="shared" si="89"/>
        <v>3865.8149808299272</v>
      </c>
      <c r="AC115" s="206">
        <f t="shared" si="89"/>
        <v>3896.8362452593747</v>
      </c>
      <c r="AD115" s="206">
        <f t="shared" si="89"/>
        <v>3927.5820970858945</v>
      </c>
      <c r="AE115" s="206">
        <f t="shared" si="89"/>
        <v>3956.6011535616353</v>
      </c>
      <c r="AF115" s="206">
        <f t="shared" si="89"/>
        <v>3985.4440660051296</v>
      </c>
      <c r="AG115" s="206">
        <f t="shared" si="89"/>
        <v>4015.9007006841503</v>
      </c>
      <c r="AH115" s="182">
        <f t="shared" si="89"/>
        <v>4047.3789460798662</v>
      </c>
    </row>
    <row r="116" spans="1:35" s="20" customFormat="1">
      <c r="A116" s="10" t="s">
        <v>142</v>
      </c>
      <c r="B116" s="37"/>
      <c r="C116" s="334">
        <f>C47*Inputs!$C$60</f>
        <v>5250.4759999999997</v>
      </c>
      <c r="D116" s="334">
        <f>D47*Inputs!$C$60</f>
        <v>8520.1853236696134</v>
      </c>
      <c r="E116" s="334">
        <f>E47*Inputs!$C$60</f>
        <v>8877.5306751147582</v>
      </c>
      <c r="F116" s="334">
        <f>F47*Inputs!$C$60</f>
        <v>7488.1354884030225</v>
      </c>
      <c r="G116" s="334">
        <f>G47*Inputs!$C$60</f>
        <v>8640.3993616327916</v>
      </c>
      <c r="H116" s="404">
        <f>H47*Inputs!$C$60</f>
        <v>8651.7624340315488</v>
      </c>
      <c r="I116" s="19">
        <f>I47*Inputs!$C$60</f>
        <v>8362.4433582303682</v>
      </c>
      <c r="J116" s="19">
        <f>J47*Inputs!$C$60</f>
        <v>8140.3866157939574</v>
      </c>
      <c r="K116" s="19">
        <f>K47*Inputs!$C$60</f>
        <v>8088.9337923968797</v>
      </c>
      <c r="L116" s="19">
        <f>L47*Inputs!$C$60</f>
        <v>7926.2738179310236</v>
      </c>
      <c r="M116" s="19">
        <f>M47*Inputs!$C$60</f>
        <v>7672.2721111558976</v>
      </c>
      <c r="N116" s="182">
        <f>N47*Inputs!$C$60</f>
        <v>7301.9782742537154</v>
      </c>
      <c r="O116" s="19">
        <f>O47*Inputs!$C$60</f>
        <v>7308.9578703680763</v>
      </c>
      <c r="P116" s="19">
        <f>P47*Inputs!$C$60</f>
        <v>7285.9435594970819</v>
      </c>
      <c r="Q116" s="19">
        <f>Q47*Inputs!$C$60</f>
        <v>7244.0652632624506</v>
      </c>
      <c r="R116" s="19">
        <f>R47*Inputs!$C$60</f>
        <v>7225.2127697355218</v>
      </c>
      <c r="S116" s="19">
        <f>S47*Inputs!$C$60</f>
        <v>7190.1708894182866</v>
      </c>
      <c r="T116" s="19">
        <f>T47*Inputs!$C$60</f>
        <v>7137.7383341644872</v>
      </c>
      <c r="U116" s="19">
        <f>U47*Inputs!$C$60</f>
        <v>7090.8795393456385</v>
      </c>
      <c r="V116" s="19">
        <f>V47*Inputs!$C$60</f>
        <v>7038.785463988107</v>
      </c>
      <c r="W116" s="19">
        <f>W47*Inputs!$C$60</f>
        <v>6983.2799528129854</v>
      </c>
      <c r="X116" s="182">
        <f>X47*Inputs!$C$60</f>
        <v>6900.9666167550677</v>
      </c>
      <c r="Y116" s="206">
        <f>Y47*Inputs!$C$60</f>
        <v>6862.6992606402355</v>
      </c>
      <c r="Z116" s="206">
        <f>Z47*Inputs!$C$60</f>
        <v>6833.8364900422785</v>
      </c>
      <c r="AA116" s="206">
        <f>AA47*Inputs!$C$60</f>
        <v>6808.1859870137041</v>
      </c>
      <c r="AB116" s="206">
        <f>AB47*Inputs!$C$60</f>
        <v>6788.7167251370374</v>
      </c>
      <c r="AC116" s="206">
        <f>AC47*Inputs!$C$60</f>
        <v>6767.4280091296105</v>
      </c>
      <c r="AD116" s="206">
        <f>AD47*Inputs!$C$60</f>
        <v>6744.7665124667619</v>
      </c>
      <c r="AE116" s="206">
        <f>AE47*Inputs!$C$60</f>
        <v>6719.1734998295569</v>
      </c>
      <c r="AF116" s="206">
        <f>AF47*Inputs!$C$60</f>
        <v>6693.4157600615845</v>
      </c>
      <c r="AG116" s="206">
        <f>AG47*Inputs!$C$60</f>
        <v>6671.1368464663601</v>
      </c>
      <c r="AH116" s="182">
        <f>AH47*Inputs!$C$60</f>
        <v>6649.3846030940258</v>
      </c>
      <c r="AI116" s="31"/>
    </row>
    <row r="117" spans="1:35" s="20" customFormat="1">
      <c r="A117" s="10" t="s">
        <v>222</v>
      </c>
      <c r="B117" s="37"/>
      <c r="C117" s="334">
        <f>C48*Inputs!$C$61</f>
        <v>2250.2039999999997</v>
      </c>
      <c r="D117" s="334">
        <f>D48*Inputs!$C$61</f>
        <v>15.263678473074688</v>
      </c>
      <c r="E117" s="334">
        <f>E48*Inputs!$C$61</f>
        <v>53.025202301234387</v>
      </c>
      <c r="F117" s="334">
        <f>F48*Inputs!$C$61</f>
        <v>75.288666722256607</v>
      </c>
      <c r="G117" s="334">
        <f>G48*Inputs!$C$61</f>
        <v>61.270794507842218</v>
      </c>
      <c r="H117" s="404">
        <f>H48*Inputs!$C$61</f>
        <v>59.022999550174283</v>
      </c>
      <c r="I117" s="19">
        <f>I48*Inputs!$C$61</f>
        <v>64.527640243299246</v>
      </c>
      <c r="J117" s="19">
        <f>J48*Inputs!$C$61</f>
        <v>72.782398570697254</v>
      </c>
      <c r="K117" s="19">
        <f>K48*Inputs!$C$61</f>
        <v>73.117120870475915</v>
      </c>
      <c r="L117" s="19">
        <f>L48*Inputs!$C$61</f>
        <v>72.50418718919056</v>
      </c>
      <c r="M117" s="19">
        <f>M48*Inputs!$C$61</f>
        <v>70.664318417682367</v>
      </c>
      <c r="N117" s="182">
        <f>N48*Inputs!$C$61</f>
        <v>67.533135189914461</v>
      </c>
      <c r="O117" s="19">
        <f>O48*Inputs!$C$61</f>
        <v>65.837666279685649</v>
      </c>
      <c r="P117" s="19">
        <f>P48*Inputs!$C$61</f>
        <v>66.320573294870556</v>
      </c>
      <c r="Q117" s="19">
        <f>Q48*Inputs!$C$61</f>
        <v>68.601854445757922</v>
      </c>
      <c r="R117" s="19">
        <f>R48*Inputs!$C$61</f>
        <v>67.812556695869858</v>
      </c>
      <c r="S117" s="19">
        <f>S48*Inputs!$C$61</f>
        <v>67.3745109541576</v>
      </c>
      <c r="T117" s="19">
        <f>T48*Inputs!$C$61</f>
        <v>70.593843619132969</v>
      </c>
      <c r="U117" s="19">
        <f>U48*Inputs!$C$61</f>
        <v>71.324953128756462</v>
      </c>
      <c r="V117" s="19">
        <f>V48*Inputs!$C$61</f>
        <v>70.374209499243292</v>
      </c>
      <c r="W117" s="19">
        <f>W48*Inputs!$C$61</f>
        <v>70.78840092120474</v>
      </c>
      <c r="X117" s="182">
        <f>X48*Inputs!$C$61</f>
        <v>69.669236414414044</v>
      </c>
      <c r="Y117" s="206">
        <f>Y48*Inputs!$C$61</f>
        <v>73.466841943508769</v>
      </c>
      <c r="Z117" s="206">
        <f>Z48*Inputs!$C$61</f>
        <v>76.857781900891126</v>
      </c>
      <c r="AA117" s="206">
        <f>AA48*Inputs!$C$61</f>
        <v>80.577026738473506</v>
      </c>
      <c r="AB117" s="206">
        <f>AB48*Inputs!$C$61</f>
        <v>83.386915171084553</v>
      </c>
      <c r="AC117" s="206">
        <f>AC48*Inputs!$C$61</f>
        <v>85.470899652861547</v>
      </c>
      <c r="AD117" s="206">
        <f>AD48*Inputs!$C$61</f>
        <v>87.851503377657352</v>
      </c>
      <c r="AE117" s="206">
        <f>AE48*Inputs!$C$61</f>
        <v>89.60737760816788</v>
      </c>
      <c r="AF117" s="206">
        <f>AF48*Inputs!$C$61</f>
        <v>90.729099927589999</v>
      </c>
      <c r="AG117" s="206">
        <f>AG48*Inputs!$C$61</f>
        <v>90.592387164328827</v>
      </c>
      <c r="AH117" s="182">
        <f>AH48*Inputs!$C$61</f>
        <v>91.111416792811511</v>
      </c>
      <c r="AI117" s="31"/>
    </row>
    <row r="118" spans="1:35" s="20" customFormat="1">
      <c r="A118" s="10" t="s">
        <v>58</v>
      </c>
      <c r="B118" s="37"/>
      <c r="C118" s="334">
        <f>SUM(C113,C116,C117)</f>
        <v>7873.9311999999991</v>
      </c>
      <c r="D118" s="334">
        <f>SUM(D113,D116,D117)</f>
        <v>9006.9288157393639</v>
      </c>
      <c r="E118" s="334">
        <f t="shared" ref="E118:AH118" si="90">SUM(E113,E116,E117)</f>
        <v>9783.0267737705599</v>
      </c>
      <c r="F118" s="334">
        <f t="shared" si="90"/>
        <v>8474.5177726275087</v>
      </c>
      <c r="G118" s="334">
        <f t="shared" si="90"/>
        <v>9758.1322073403371</v>
      </c>
      <c r="H118" s="404">
        <f t="shared" si="90"/>
        <v>9767.7442689950167</v>
      </c>
      <c r="I118" s="19">
        <f t="shared" si="90"/>
        <v>9660.0471578364886</v>
      </c>
      <c r="J118" s="19">
        <f t="shared" si="90"/>
        <v>9679.9917503283268</v>
      </c>
      <c r="K118" s="19">
        <f t="shared" si="90"/>
        <v>9963.8875274335714</v>
      </c>
      <c r="L118" s="19">
        <f t="shared" si="90"/>
        <v>10211.340350174776</v>
      </c>
      <c r="M118" s="19">
        <f t="shared" si="90"/>
        <v>10467.808802914449</v>
      </c>
      <c r="N118" s="182">
        <f t="shared" si="90"/>
        <v>10728.795496601393</v>
      </c>
      <c r="O118" s="19">
        <f t="shared" si="90"/>
        <v>10826.463834253165</v>
      </c>
      <c r="P118" s="19">
        <f t="shared" si="90"/>
        <v>10886.19543035758</v>
      </c>
      <c r="Q118" s="19">
        <f t="shared" si="90"/>
        <v>10923.095066639313</v>
      </c>
      <c r="R118" s="19">
        <f t="shared" si="90"/>
        <v>10992.343646354366</v>
      </c>
      <c r="S118" s="19">
        <f t="shared" si="90"/>
        <v>11040.505913033194</v>
      </c>
      <c r="T118" s="19">
        <f t="shared" si="90"/>
        <v>11070.24532288925</v>
      </c>
      <c r="U118" s="19">
        <f t="shared" si="90"/>
        <v>11107.151039384702</v>
      </c>
      <c r="V118" s="19">
        <f t="shared" si="90"/>
        <v>11135.80790735972</v>
      </c>
      <c r="W118" s="19">
        <f t="shared" si="90"/>
        <v>11163.718250294723</v>
      </c>
      <c r="X118" s="182">
        <f t="shared" si="90"/>
        <v>11148.878900831804</v>
      </c>
      <c r="Y118" s="206">
        <f t="shared" si="90"/>
        <v>11137.551395975526</v>
      </c>
      <c r="Z118" s="206">
        <f t="shared" si="90"/>
        <v>11140.875631585475</v>
      </c>
      <c r="AA118" s="206">
        <f t="shared" si="90"/>
        <v>11150.200937594067</v>
      </c>
      <c r="AB118" s="206">
        <f t="shared" si="90"/>
        <v>11168.402144303853</v>
      </c>
      <c r="AC118" s="206">
        <f t="shared" si="90"/>
        <v>11182.81989922928</v>
      </c>
      <c r="AD118" s="206">
        <f t="shared" si="90"/>
        <v>11195.829426728291</v>
      </c>
      <c r="AE118" s="206">
        <f t="shared" si="90"/>
        <v>11203.338740142604</v>
      </c>
      <c r="AF118" s="206">
        <f t="shared" si="90"/>
        <v>11209.828282721428</v>
      </c>
      <c r="AG118" s="206">
        <f t="shared" si="90"/>
        <v>11220.304585909453</v>
      </c>
      <c r="AH118" s="182">
        <f t="shared" si="90"/>
        <v>11233.071276057335</v>
      </c>
      <c r="AI118" s="31"/>
    </row>
    <row r="119" spans="1:35" s="1" customFormat="1">
      <c r="A119" s="1" t="s">
        <v>335</v>
      </c>
      <c r="B119" s="13"/>
      <c r="C119" s="341">
        <f>C118-'Output - Jobs vs Yr (BAU)'!C55</f>
        <v>-0.11000000000058208</v>
      </c>
      <c r="D119" s="341">
        <f>D118-'Output - Jobs vs Yr (BAU)'!D55</f>
        <v>30.567615739362736</v>
      </c>
      <c r="E119" s="341">
        <f>E118-'Output - Jobs vs Yr (BAU)'!E55</f>
        <v>3.174159418014824</v>
      </c>
      <c r="F119" s="341">
        <f>F118-'Output - Jobs vs Yr (BAU)'!F55</f>
        <v>10.988327693010433</v>
      </c>
      <c r="G119" s="341">
        <f>G118-'Output - Jobs vs Yr (BAU)'!G55</f>
        <v>6.6031107759990846</v>
      </c>
      <c r="H119" s="405">
        <f>H118-'Output - Jobs vs Yr (BAU)'!H55</f>
        <v>-0.11330000000089058</v>
      </c>
      <c r="I119" s="15">
        <f>I118-'Output - Jobs vs Yr (BAU)'!I55</f>
        <v>54.439572488718113</v>
      </c>
      <c r="J119" s="15">
        <f>J118-'Output - Jobs vs Yr (BAU)'!J55</f>
        <v>132.9410320723855</v>
      </c>
      <c r="K119" s="15">
        <f>K118-'Output - Jobs vs Yr (BAU)'!K55</f>
        <v>240.00400410307884</v>
      </c>
      <c r="L119" s="15">
        <f>L118-'Output - Jobs vs Yr (BAU)'!L55</f>
        <v>383.70008841515664</v>
      </c>
      <c r="M119" s="15">
        <f>M118-'Output - Jobs vs Yr (BAU)'!M55</f>
        <v>563.38791213801051</v>
      </c>
      <c r="N119" s="182">
        <f>N118-'Output - Jobs vs Yr (BAU)'!N55</f>
        <v>786.19698544019047</v>
      </c>
      <c r="O119" s="15">
        <f>O118-'Output - Jobs vs Yr (BAU)'!O55</f>
        <v>816.97440372454002</v>
      </c>
      <c r="P119" s="15">
        <f>P118-'Output - Jobs vs Yr (BAU)'!P55</f>
        <v>845.57350139763366</v>
      </c>
      <c r="Q119" s="15">
        <f>Q118-'Output - Jobs vs Yr (BAU)'!Q55</f>
        <v>867.69323069200982</v>
      </c>
      <c r="R119" s="15">
        <f>R118-'Output - Jobs vs Yr (BAU)'!R55</f>
        <v>898.48143010225795</v>
      </c>
      <c r="S119" s="15">
        <f>S118-'Output - Jobs vs Yr (BAU)'!S55</f>
        <v>927.39351960961358</v>
      </c>
      <c r="T119" s="15">
        <f>T118-'Output - Jobs vs Yr (BAU)'!T55</f>
        <v>954.5968589495551</v>
      </c>
      <c r="U119" s="15">
        <f>U118-'Output - Jobs vs Yr (BAU)'!U55</f>
        <v>983.18478971754485</v>
      </c>
      <c r="V119" s="15">
        <f>V118-'Output - Jobs vs Yr (BAU)'!V55</f>
        <v>1010.6126363035946</v>
      </c>
      <c r="W119" s="15">
        <f>W118-'Output - Jobs vs Yr (BAU)'!W55</f>
        <v>1039.2095361730899</v>
      </c>
      <c r="X119" s="190">
        <f>X118-'Output - Jobs vs Yr (BAU)'!X55</f>
        <v>1062.3066008313854</v>
      </c>
      <c r="Y119" s="130">
        <f>Y118-'Output - Jobs vs Yr (BAU)'!Y55</f>
        <v>1068.4354904719985</v>
      </c>
      <c r="Z119" s="130">
        <f>Z118-'Output - Jobs vs Yr (BAU)'!Z55</f>
        <v>1076.7049128998424</v>
      </c>
      <c r="AA119" s="130">
        <f>AA118-'Output - Jobs vs Yr (BAU)'!AA55</f>
        <v>1086.6929466033544</v>
      </c>
      <c r="AB119" s="130">
        <f>AB118-'Output - Jobs vs Yr (BAU)'!AB55</f>
        <v>1095.8059245323311</v>
      </c>
      <c r="AC119" s="130">
        <f>AC118-'Output - Jobs vs Yr (BAU)'!AC55</f>
        <v>1105.0537239569439</v>
      </c>
      <c r="AD119" s="130">
        <f>AD118-'Output - Jobs vs Yr (BAU)'!AD55</f>
        <v>1115.3606511188227</v>
      </c>
      <c r="AE119" s="130">
        <f>AE118-'Output - Jobs vs Yr (BAU)'!AE55</f>
        <v>1124.5888584758886</v>
      </c>
      <c r="AF119" s="130">
        <f>AF118-'Output - Jobs vs Yr (BAU)'!AF55</f>
        <v>1134.1199907355913</v>
      </c>
      <c r="AG119" s="130">
        <f>AG118-'Output - Jobs vs Yr (BAU)'!AG55</f>
        <v>1143.084643378188</v>
      </c>
      <c r="AH119" s="190">
        <f>AH118-'Output - Jobs vs Yr (BAU)'!AH55</f>
        <v>1151.5088383587954</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0</v>
      </c>
    </row>
    <row r="123" spans="1:35" hidden="1">
      <c r="W123" s="2" t="s">
        <v>134</v>
      </c>
      <c r="X123" s="187">
        <f>X115-'Output - Jobs vs Yr (BAU)'!X51</f>
        <v>3014.7276312647755</v>
      </c>
    </row>
    <row r="124" spans="1:35" hidden="1">
      <c r="W124" s="2" t="s">
        <v>137</v>
      </c>
      <c r="X124" s="187">
        <f>SUM(X101,X106,X111)</f>
        <v>0</v>
      </c>
    </row>
    <row r="125" spans="1:35" hidden="1">
      <c r="W125" s="2" t="s">
        <v>132</v>
      </c>
      <c r="X125" s="187">
        <f>SUM(X121:X124)</f>
        <v>3014.7276312647755</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222.20864999999998</v>
      </c>
      <c r="D129" s="331">
        <f>D102*Inputs!$H48</f>
        <v>260.54889982969661</v>
      </c>
      <c r="E129" s="331">
        <f>E102*Inputs!$H48</f>
        <v>286.92183131821321</v>
      </c>
      <c r="F129" s="331">
        <f>F102*Inputs!$H48</f>
        <v>253.03163102752481</v>
      </c>
      <c r="G129" s="331">
        <f>G102*Inputs!$H48</f>
        <v>298.42909122218373</v>
      </c>
      <c r="H129" s="402">
        <f>H102*Inputs!$H48</f>
        <v>299.09688244355721</v>
      </c>
      <c r="I129" s="14">
        <f>I102*Inputs!$H48</f>
        <v>302.0754455518404</v>
      </c>
      <c r="J129" s="14">
        <f>J102*Inputs!$H48</f>
        <v>308.34728895833587</v>
      </c>
      <c r="K129" s="14">
        <f>K102*Inputs!$H48</f>
        <v>322.40407016527161</v>
      </c>
      <c r="L129" s="14">
        <f>L102*Inputs!$H48</f>
        <v>334.52476470115568</v>
      </c>
      <c r="M129" s="14">
        <f>M102*Inputs!$H48</f>
        <v>345.85478895215022</v>
      </c>
      <c r="N129" s="182">
        <f>N102*Inputs!$H48</f>
        <v>355.88373624730548</v>
      </c>
      <c r="O129" s="14">
        <f>O102*Inputs!$H48</f>
        <v>360.15623125106248</v>
      </c>
      <c r="P129" s="14">
        <f>P102*Inputs!$H48</f>
        <v>363.15939706782979</v>
      </c>
      <c r="Q129" s="14">
        <f>Q102*Inputs!$H48</f>
        <v>365.38626786444922</v>
      </c>
      <c r="R129" s="14">
        <f>R102*Inputs!$H48</f>
        <v>368.67769390017804</v>
      </c>
      <c r="S129" s="14">
        <f>S102*Inputs!$H48</f>
        <v>371.24966204924254</v>
      </c>
      <c r="T129" s="14">
        <f>T102*Inputs!$H48</f>
        <v>373.18446306032746</v>
      </c>
      <c r="U129" s="14">
        <f>U102*Inputs!$H48</f>
        <v>375.34174971346755</v>
      </c>
      <c r="V129" s="14">
        <f>V102*Inputs!$H48</f>
        <v>377.20049981508043</v>
      </c>
      <c r="W129" s="14">
        <f>W102*Inputs!$H48</f>
        <v>379.01337758692853</v>
      </c>
      <c r="X129" s="187">
        <f>X102*Inputs!$H48</f>
        <v>379.35262726243513</v>
      </c>
      <c r="Y129" s="158">
        <f>Y102*Inputs!$H48</f>
        <v>380.82528744301914</v>
      </c>
      <c r="Z129" s="158">
        <f>Z102*Inputs!$H48</f>
        <v>382.79181846343499</v>
      </c>
      <c r="AA129" s="158">
        <f>AA102*Inputs!$H48</f>
        <v>384.96113571638699</v>
      </c>
      <c r="AB129" s="158">
        <f>AB102*Inputs!$H48</f>
        <v>387.43517084922377</v>
      </c>
      <c r="AC129" s="158">
        <f>AC102*Inputs!$H48</f>
        <v>389.77627066869115</v>
      </c>
      <c r="AD129" s="158">
        <f>AD102*Inputs!$H48</f>
        <v>392.06638241818086</v>
      </c>
      <c r="AE129" s="158">
        <f>AE102*Inputs!$H48</f>
        <v>394.16103822891944</v>
      </c>
      <c r="AF129" s="158">
        <f>AF102*Inputs!$H48</f>
        <v>396.21542105441102</v>
      </c>
      <c r="AG129" s="158">
        <f>AG102*Inputs!$H48</f>
        <v>398.40718643515152</v>
      </c>
      <c r="AH129" s="187">
        <f>AH102*Inputs!$H48</f>
        <v>400.67667908156784</v>
      </c>
    </row>
    <row r="130" spans="1:35">
      <c r="A130" s="10" t="s">
        <v>59</v>
      </c>
      <c r="B130" s="35">
        <v>0</v>
      </c>
      <c r="C130" s="331">
        <f>C103*Inputs!$H53</f>
        <v>0</v>
      </c>
      <c r="D130" s="331">
        <f>D103*Inputs!$H53</f>
        <v>0</v>
      </c>
      <c r="E130" s="331">
        <f>E103*Inputs!$H53</f>
        <v>0</v>
      </c>
      <c r="F130" s="331">
        <f>F103*Inputs!$H53</f>
        <v>0</v>
      </c>
      <c r="G130" s="331">
        <f>G103*Inputs!$H53</f>
        <v>0</v>
      </c>
      <c r="H130" s="402">
        <f>H103*Inputs!$H53</f>
        <v>0</v>
      </c>
      <c r="I130" s="14">
        <f>I103*Inputs!$H53</f>
        <v>0</v>
      </c>
      <c r="J130" s="14">
        <f>J103*Inputs!$H53</f>
        <v>0</v>
      </c>
      <c r="K130" s="14">
        <f>K103*Inputs!$H53</f>
        <v>0</v>
      </c>
      <c r="L130" s="14">
        <f>L103*Inputs!$H53</f>
        <v>0</v>
      </c>
      <c r="M130" s="14">
        <f>M103*Inputs!$H53</f>
        <v>0</v>
      </c>
      <c r="N130" s="182">
        <f>N103*Inputs!$H53</f>
        <v>0</v>
      </c>
      <c r="O130" s="14">
        <f>O103*Inputs!$H53</f>
        <v>0</v>
      </c>
      <c r="P130" s="14">
        <f>P103*Inputs!$H53</f>
        <v>0</v>
      </c>
      <c r="Q130" s="14">
        <f>Q103*Inputs!$H53</f>
        <v>0</v>
      </c>
      <c r="R130" s="14">
        <f>R103*Inputs!$H53</f>
        <v>0</v>
      </c>
      <c r="S130" s="14">
        <f>S103*Inputs!$H53</f>
        <v>0</v>
      </c>
      <c r="T130" s="14">
        <f>T103*Inputs!$H53</f>
        <v>0</v>
      </c>
      <c r="U130" s="14">
        <f>U103*Inputs!$H53</f>
        <v>0</v>
      </c>
      <c r="V130" s="14">
        <f>V103*Inputs!$H53</f>
        <v>0</v>
      </c>
      <c r="W130" s="14">
        <f>W103*Inputs!$H53</f>
        <v>0</v>
      </c>
      <c r="X130" s="187">
        <f>X103*Inputs!$H53</f>
        <v>0</v>
      </c>
      <c r="Y130" s="158">
        <f>Y103*Inputs!$H53</f>
        <v>0</v>
      </c>
      <c r="Z130" s="158">
        <f>Z103*Inputs!$H53</f>
        <v>0</v>
      </c>
      <c r="AA130" s="158">
        <f>AA103*Inputs!$H53</f>
        <v>0</v>
      </c>
      <c r="AB130" s="158">
        <f>AB103*Inputs!$H53</f>
        <v>0</v>
      </c>
      <c r="AC130" s="158">
        <f>AC103*Inputs!$H53</f>
        <v>0</v>
      </c>
      <c r="AD130" s="158">
        <f>AD103*Inputs!$H53</f>
        <v>0</v>
      </c>
      <c r="AE130" s="158">
        <f>AE103*Inputs!$H53</f>
        <v>0</v>
      </c>
      <c r="AF130" s="158">
        <f>AF103*Inputs!$H53</f>
        <v>0</v>
      </c>
      <c r="AG130" s="158">
        <f>AG103*Inputs!$H53</f>
        <v>0</v>
      </c>
      <c r="AH130" s="187">
        <f>AH103*Inputs!$H53</f>
        <v>0</v>
      </c>
    </row>
    <row r="131" spans="1:35">
      <c r="A131" s="10" t="s">
        <v>121</v>
      </c>
      <c r="B131" s="35">
        <v>1</v>
      </c>
      <c r="C131" s="330">
        <f>Inputs!$H46*'Output -Jobs vs Yr'!C104</f>
        <v>0.189</v>
      </c>
      <c r="D131" s="330">
        <f>Inputs!$H46*'Output -Jobs vs Yr'!D104</f>
        <v>0.36227594920345657</v>
      </c>
      <c r="E131" s="330">
        <f>Inputs!$H46*'Output -Jobs vs Yr'!E104</f>
        <v>0.6526334079447047</v>
      </c>
      <c r="F131" s="330">
        <f>Inputs!$H46*'Output -Jobs vs Yr'!F104</f>
        <v>0.9421637193582526</v>
      </c>
      <c r="G131" s="330">
        <f>Inputs!$H46*'Output -Jobs vs Yr'!G104</f>
        <v>1.8201807644612806</v>
      </c>
      <c r="H131" s="286">
        <f>Inputs!$H46*'Output -Jobs vs Yr'!H104</f>
        <v>4.9165662656250005E-2</v>
      </c>
      <c r="I131" s="40">
        <f>Inputs!$H46*'Output -Jobs vs Yr'!I104</f>
        <v>8.108016363573689E-2</v>
      </c>
      <c r="J131" s="40">
        <f>Inputs!$H46*'Output -Jobs vs Yr'!J104</f>
        <v>0.13524491260121657</v>
      </c>
      <c r="K131" s="40">
        <f>Inputs!$H46*'Output -Jobs vs Yr'!K104</f>
        <v>0.23124784766565562</v>
      </c>
      <c r="L131" s="40">
        <f>Inputs!$H46*'Output -Jobs vs Yr'!L104</f>
        <v>0.39264522091681375</v>
      </c>
      <c r="M131" s="40">
        <f>Inputs!$H46*'Output -Jobs vs Yr'!M104</f>
        <v>0.66472821754194777</v>
      </c>
      <c r="N131" s="177">
        <f>Inputs!$H46*'Output -Jobs vs Yr'!N104</f>
        <v>1.1207434686626401</v>
      </c>
      <c r="O131" s="40">
        <f>Inputs!$H46*'Output -Jobs vs Yr'!O104</f>
        <v>1.1538822350546827</v>
      </c>
      <c r="P131" s="40">
        <f>Inputs!$H46*'Output -Jobs vs Yr'!P104</f>
        <v>1.1837271110934771</v>
      </c>
      <c r="Q131" s="40">
        <f>Inputs!$H46*'Output -Jobs vs Yr'!Q104</f>
        <v>1.2117176807678036</v>
      </c>
      <c r="R131" s="40">
        <f>Inputs!$H46*'Output -Jobs vs Yr'!R104</f>
        <v>1.2439474961418546</v>
      </c>
      <c r="S131" s="40">
        <f>Inputs!$H46*'Output -Jobs vs Yr'!S104</f>
        <v>1.2744950641594655</v>
      </c>
      <c r="T131" s="40">
        <f>Inputs!$H46*'Output -Jobs vs Yr'!T104</f>
        <v>1.3035370441743015</v>
      </c>
      <c r="U131" s="40">
        <f>Inputs!$H46*'Output -Jobs vs Yr'!U104</f>
        <v>1.3340286352066075</v>
      </c>
      <c r="V131" s="40">
        <f>Inputs!$H46*'Output -Jobs vs Yr'!V104</f>
        <v>1.3641420866474341</v>
      </c>
      <c r="W131" s="40">
        <f>Inputs!$H46*'Output -Jobs vs Yr'!W104</f>
        <v>1.3947663800080667</v>
      </c>
      <c r="X131" s="184">
        <f>Inputs!$H46*'Output -Jobs vs Yr'!X104</f>
        <v>1.4205614335704324</v>
      </c>
      <c r="Y131" s="271">
        <f>Inputs!$H46*'Output -Jobs vs Yr'!Y104</f>
        <v>1.4286936257237015</v>
      </c>
      <c r="Z131" s="271">
        <f>Inputs!$H46*'Output -Jobs vs Yr'!Z104</f>
        <v>1.438756234306181</v>
      </c>
      <c r="AA131" s="271">
        <f>Inputs!$H46*'Output -Jobs vs Yr'!AA104</f>
        <v>1.4496640465154167</v>
      </c>
      <c r="AB131" s="271">
        <f>Inputs!$H46*'Output -Jobs vs Yr'!AB104</f>
        <v>1.4618066417346449</v>
      </c>
      <c r="AC131" s="271">
        <f>Inputs!$H46*'Output -Jobs vs Yr'!AC104</f>
        <v>1.4735369212753999</v>
      </c>
      <c r="AD131" s="271">
        <f>Inputs!$H46*'Output -Jobs vs Yr'!AD104</f>
        <v>1.4851630571946486</v>
      </c>
      <c r="AE131" s="271">
        <f>Inputs!$H46*'Output -Jobs vs Yr'!AE104</f>
        <v>1.4961362283638502</v>
      </c>
      <c r="AF131" s="271">
        <f>Inputs!$H46*'Output -Jobs vs Yr'!AF104</f>
        <v>1.5070427930044108</v>
      </c>
      <c r="AG131" s="271">
        <f>Inputs!$H46*'Output -Jobs vs Yr'!AG104</f>
        <v>1.518559565296788</v>
      </c>
      <c r="AH131" s="184">
        <f>Inputs!$H46*'Output -Jobs vs Yr'!AH104</f>
        <v>1.5304626461265212</v>
      </c>
    </row>
    <row r="132" spans="1:35">
      <c r="A132" s="10" t="s">
        <v>50</v>
      </c>
      <c r="B132" s="35">
        <v>1</v>
      </c>
      <c r="C132" s="331">
        <f>C105*Inputs!$H49</f>
        <v>0</v>
      </c>
      <c r="D132" s="331">
        <f>D105*Inputs!$H49</f>
        <v>0</v>
      </c>
      <c r="E132" s="331">
        <f>E105*Inputs!$H49</f>
        <v>2.2500000000000003E-8</v>
      </c>
      <c r="F132" s="331">
        <f>F105*Inputs!$H49</f>
        <v>2.2500000000000003E-8</v>
      </c>
      <c r="G132" s="331">
        <f>G105*Inputs!$H49</f>
        <v>2.2500000000000003E-8</v>
      </c>
      <c r="H132" s="402">
        <f>H105*Inputs!$H49</f>
        <v>2.2500000000000003E-8</v>
      </c>
      <c r="I132" s="14">
        <f>I105*Inputs!$H49</f>
        <v>2.7803838431370216E-8</v>
      </c>
      <c r="J132" s="14">
        <f>J105*Inputs!$H49</f>
        <v>3.4752063386950236E-8</v>
      </c>
      <c r="K132" s="14">
        <f>K105*Inputs!$H49</f>
        <v>4.4525302211181441E-8</v>
      </c>
      <c r="L132" s="14">
        <f>L105*Inputs!$H49</f>
        <v>5.6649882176973892E-8</v>
      </c>
      <c r="M132" s="14">
        <f>M105*Inputs!$H49</f>
        <v>7.1864155844453435E-8</v>
      </c>
      <c r="N132" s="182">
        <f>N105*Inputs!$H49</f>
        <v>9.0791240237756953E-8</v>
      </c>
      <c r="O132" s="14">
        <f>O105*Inputs!$H49</f>
        <v>9.3475806139598091E-8</v>
      </c>
      <c r="P132" s="14">
        <f>P105*Inputs!$H49</f>
        <v>9.5893534536924949E-8</v>
      </c>
      <c r="Q132" s="14">
        <f>Q105*Inputs!$H49</f>
        <v>9.8161045886980774E-8</v>
      </c>
      <c r="R132" s="14">
        <f>R105*Inputs!$H49</f>
        <v>1.0077197781945571E-7</v>
      </c>
      <c r="S132" s="14">
        <f>S105*Inputs!$H49</f>
        <v>1.0324663117601343E-7</v>
      </c>
      <c r="T132" s="14">
        <f>T105*Inputs!$H49</f>
        <v>1.0559931710123544E-7</v>
      </c>
      <c r="U132" s="14">
        <f>U105*Inputs!$H49</f>
        <v>1.0806943577161143E-7</v>
      </c>
      <c r="V132" s="14">
        <f>V105*Inputs!$H49</f>
        <v>1.1050892141716652E-7</v>
      </c>
      <c r="W132" s="14">
        <f>W105*Inputs!$H49</f>
        <v>1.1298979028088122E-7</v>
      </c>
      <c r="X132" s="187">
        <f>X105*Inputs!$H49</f>
        <v>1.1507944323930629E-7</v>
      </c>
      <c r="Y132" s="158">
        <f>Y105*Inputs!$H49</f>
        <v>1.157382307603508E-7</v>
      </c>
      <c r="Z132" s="158">
        <f>Z105*Inputs!$H49</f>
        <v>1.1655340099223323E-7</v>
      </c>
      <c r="AA132" s="158">
        <f>AA105*Inputs!$H49</f>
        <v>1.1743704102802022E-7</v>
      </c>
      <c r="AB132" s="158">
        <f>AB105*Inputs!$H49</f>
        <v>1.184207106281423E-7</v>
      </c>
      <c r="AC132" s="158">
        <f>AC105*Inputs!$H49</f>
        <v>1.1937097860437385E-7</v>
      </c>
      <c r="AD132" s="158">
        <f>AD105*Inputs!$H49</f>
        <v>1.2031280992331154E-7</v>
      </c>
      <c r="AE132" s="158">
        <f>AE105*Inputs!$H49</f>
        <v>1.2120174467747241E-7</v>
      </c>
      <c r="AF132" s="158">
        <f>AF105*Inputs!$H49</f>
        <v>1.2208528364793051E-7</v>
      </c>
      <c r="AG132" s="158">
        <f>AG105*Inputs!$H49</f>
        <v>1.2301825543781611E-7</v>
      </c>
      <c r="AH132" s="187">
        <f>AH105*Inputs!$H49</f>
        <v>1.2398252201745636E-7</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0</v>
      </c>
      <c r="D134" s="331">
        <f>D107*Inputs!$H52</f>
        <v>0</v>
      </c>
      <c r="E134" s="331">
        <f>E107*Inputs!$H52</f>
        <v>5.9677897500000007E-3</v>
      </c>
      <c r="F134" s="331">
        <f>F107*Inputs!$H52</f>
        <v>6.5783961000000007E-3</v>
      </c>
      <c r="G134" s="331">
        <f>G107*Inputs!$H52</f>
        <v>8.020097549999999E-3</v>
      </c>
      <c r="H134" s="402">
        <f>H107*Inputs!$H52</f>
        <v>8.0527432499999992E-3</v>
      </c>
      <c r="I134" s="14">
        <f>I107*Inputs!$H52</f>
        <v>9.9404108279472561E-3</v>
      </c>
      <c r="J134" s="14">
        <f>J107*Inputs!$H52</f>
        <v>1.241133267251282E-2</v>
      </c>
      <c r="K134" s="14">
        <f>K107*Inputs!$H52</f>
        <v>1.5884843483008514E-2</v>
      </c>
      <c r="L134" s="14">
        <f>L107*Inputs!$H52</f>
        <v>2.0188930746453376E-2</v>
      </c>
      <c r="M134" s="14">
        <f>M107*Inputs!$H52</f>
        <v>2.5583789852789449E-2</v>
      </c>
      <c r="N134" s="182">
        <f>N107*Inputs!$H52</f>
        <v>3.2287524044239228E-2</v>
      </c>
      <c r="O134" s="14">
        <f>O107*Inputs!$H52</f>
        <v>3.3242219517911065E-2</v>
      </c>
      <c r="P134" s="14">
        <f>P107*Inputs!$H52</f>
        <v>3.410202122958178E-2</v>
      </c>
      <c r="Q134" s="14">
        <f>Q107*Inputs!$H52</f>
        <v>3.4908402187081529E-2</v>
      </c>
      <c r="R134" s="14">
        <f>R107*Inputs!$H52</f>
        <v>3.5836911670230974E-2</v>
      </c>
      <c r="S134" s="14">
        <f>S107*Inputs!$H52</f>
        <v>3.6716957251079721E-2</v>
      </c>
      <c r="T134" s="14">
        <f>T107*Inputs!$H52</f>
        <v>3.7553628312959962E-2</v>
      </c>
      <c r="U134" s="14">
        <f>U107*Inputs!$H52</f>
        <v>3.8432061251567652E-2</v>
      </c>
      <c r="V134" s="14">
        <f>V107*Inputs!$H52</f>
        <v>3.9299600358095689E-2</v>
      </c>
      <c r="W134" s="14">
        <f>W107*Inputs!$H52</f>
        <v>4.0181856321094209E-2</v>
      </c>
      <c r="X134" s="187">
        <f>X107*Inputs!$H52</f>
        <v>4.0924986605057549E-2</v>
      </c>
      <c r="Y134" s="158">
        <f>Y107*Inputs!$H52</f>
        <v>4.1159267113508216E-2</v>
      </c>
      <c r="Z134" s="158">
        <f>Z107*Inputs!$H52</f>
        <v>4.1449161032713719E-2</v>
      </c>
      <c r="AA134" s="158">
        <f>AA107*Inputs!$H52</f>
        <v>4.1763404442399614E-2</v>
      </c>
      <c r="AB134" s="158">
        <f>AB107*Inputs!$H52</f>
        <v>4.2113220743866107E-2</v>
      </c>
      <c r="AC134" s="158">
        <f>AC107*Inputs!$H52</f>
        <v>4.2451158633586505E-2</v>
      </c>
      <c r="AD134" s="158">
        <f>AD107*Inputs!$H52</f>
        <v>4.2786096247349512E-2</v>
      </c>
      <c r="AE134" s="158">
        <f>AE107*Inputs!$H52</f>
        <v>4.3102222584797567E-2</v>
      </c>
      <c r="AF134" s="158">
        <f>AF107*Inputs!$H52</f>
        <v>4.3416430053249168E-2</v>
      </c>
      <c r="AG134" s="158">
        <f>AG107*Inputs!$H52</f>
        <v>4.374821700780164E-2</v>
      </c>
      <c r="AH134" s="187">
        <f>AH107*Inputs!$H52</f>
        <v>4.4091133133781053E-2</v>
      </c>
    </row>
    <row r="135" spans="1:35">
      <c r="A135" s="9" t="s">
        <v>347</v>
      </c>
      <c r="B135" s="35">
        <v>1</v>
      </c>
      <c r="C135" s="331">
        <f>C108*Inputs!$H54</f>
        <v>0</v>
      </c>
      <c r="D135" s="331">
        <f>D108*Inputs!$H54</f>
        <v>0</v>
      </c>
      <c r="E135" s="331">
        <f>E108*Inputs!$H54</f>
        <v>1.4220000000000002E-2</v>
      </c>
      <c r="F135" s="331">
        <f>F108*Inputs!$H54</f>
        <v>1.4220000000000002E-2</v>
      </c>
      <c r="G135" s="331">
        <f>G108*Inputs!$H54</f>
        <v>1.4220000000000002E-2</v>
      </c>
      <c r="H135" s="402">
        <f>H108*Inputs!$H54</f>
        <v>1.4220000000000002E-2</v>
      </c>
      <c r="I135" s="14">
        <f>I108*Inputs!$H54</f>
        <v>1.7572025888625973E-2</v>
      </c>
      <c r="J135" s="14">
        <f>J108*Inputs!$H54</f>
        <v>2.1963304060552545E-2</v>
      </c>
      <c r="K135" s="14">
        <f>K108*Inputs!$H54</f>
        <v>2.8139990997466668E-2</v>
      </c>
      <c r="L135" s="14">
        <f>L108*Inputs!$H54</f>
        <v>3.5802725535847492E-2</v>
      </c>
      <c r="M135" s="14">
        <f>M108*Inputs!$H54</f>
        <v>4.5418146493694564E-2</v>
      </c>
      <c r="N135" s="182">
        <f>N108*Inputs!$H54</f>
        <v>5.7380063830262396E-2</v>
      </c>
      <c r="O135" s="14">
        <f>O108*Inputs!$H54</f>
        <v>5.9076709480225989E-2</v>
      </c>
      <c r="P135" s="14">
        <f>P108*Inputs!$H54</f>
        <v>6.0604713827336565E-2</v>
      </c>
      <c r="Q135" s="14">
        <f>Q108*Inputs!$H54</f>
        <v>6.2037781000571834E-2</v>
      </c>
      <c r="R135" s="14">
        <f>R108*Inputs!$H54</f>
        <v>6.3687889981896006E-2</v>
      </c>
      <c r="S135" s="14">
        <f>S108*Inputs!$H54</f>
        <v>6.5251870903240472E-2</v>
      </c>
      <c r="T135" s="14">
        <f>T108*Inputs!$H54</f>
        <v>6.6738768407980792E-2</v>
      </c>
      <c r="U135" s="14">
        <f>U108*Inputs!$H54</f>
        <v>6.8299883407658427E-2</v>
      </c>
      <c r="V135" s="14">
        <f>V108*Inputs!$H54</f>
        <v>6.9841638335649256E-2</v>
      </c>
      <c r="W135" s="14">
        <f>W108*Inputs!$H54</f>
        <v>7.1409547457516917E-2</v>
      </c>
      <c r="X135" s="187">
        <f>X108*Inputs!$H54</f>
        <v>7.2730208127241597E-2</v>
      </c>
      <c r="Y135" s="158">
        <f>Y108*Inputs!$H54</f>
        <v>7.3146561840541691E-2</v>
      </c>
      <c r="Z135" s="158">
        <f>Z108*Inputs!$H54</f>
        <v>7.3661749427091375E-2</v>
      </c>
      <c r="AA135" s="158">
        <f>AA108*Inputs!$H54</f>
        <v>7.422020992970875E-2</v>
      </c>
      <c r="AB135" s="158">
        <f>AB108*Inputs!$H54</f>
        <v>7.4841889116985874E-2</v>
      </c>
      <c r="AC135" s="158">
        <f>AC108*Inputs!$H54</f>
        <v>7.5442458477964186E-2</v>
      </c>
      <c r="AD135" s="158">
        <f>AD108*Inputs!$H54</f>
        <v>7.6037695871532793E-2</v>
      </c>
      <c r="AE135" s="158">
        <f>AE108*Inputs!$H54</f>
        <v>7.6599502636162442E-2</v>
      </c>
      <c r="AF135" s="158">
        <f>AF108*Inputs!$H54</f>
        <v>7.715789926549195E-2</v>
      </c>
      <c r="AG135" s="158">
        <f>AG108*Inputs!$H54</f>
        <v>7.7747537436699626E-2</v>
      </c>
      <c r="AH135" s="187">
        <f>AH108*Inputs!$H54</f>
        <v>7.8356953915032418E-2</v>
      </c>
    </row>
    <row r="136" spans="1:35">
      <c r="A136" s="9" t="s">
        <v>348</v>
      </c>
      <c r="B136" s="35">
        <v>1</v>
      </c>
      <c r="C136" s="331">
        <f>C109*Inputs!$H55</f>
        <v>0</v>
      </c>
      <c r="D136" s="331">
        <f>D109*Inputs!$H55</f>
        <v>0</v>
      </c>
      <c r="E136" s="331">
        <f>E109*Inputs!$H55</f>
        <v>2.0700000000000002E-3</v>
      </c>
      <c r="F136" s="331">
        <f>F109*Inputs!$H55</f>
        <v>2.0700000000000002E-3</v>
      </c>
      <c r="G136" s="331">
        <f>G109*Inputs!$H55</f>
        <v>2.0700000000000002E-3</v>
      </c>
      <c r="H136" s="402">
        <f>H109*Inputs!$H55</f>
        <v>2.0700000000000002E-3</v>
      </c>
      <c r="I136" s="14">
        <f>I109*Inputs!$H55</f>
        <v>2.5579531356860591E-3</v>
      </c>
      <c r="J136" s="14">
        <f>J109*Inputs!$H55</f>
        <v>3.1971898315994213E-3</v>
      </c>
      <c r="K136" s="14">
        <f>K109*Inputs!$H55</f>
        <v>4.0963278034286928E-3</v>
      </c>
      <c r="L136" s="14">
        <f>L109*Inputs!$H55</f>
        <v>5.2117891602815967E-3</v>
      </c>
      <c r="M136" s="14">
        <f>M109*Inputs!$H55</f>
        <v>6.6115023376897147E-3</v>
      </c>
      <c r="N136" s="187">
        <f>N109*Inputs!$H55</f>
        <v>8.3527941018736417E-3</v>
      </c>
      <c r="O136" s="14">
        <f>O109*Inputs!$H55</f>
        <v>8.5997741648430239E-3</v>
      </c>
      <c r="P136" s="14">
        <f>P109*Inputs!$H55</f>
        <v>8.8222051773970949E-3</v>
      </c>
      <c r="Q136" s="14">
        <f>Q109*Inputs!$H55</f>
        <v>9.0308162216022284E-3</v>
      </c>
      <c r="R136" s="14">
        <f>R109*Inputs!$H55</f>
        <v>9.271021959389926E-3</v>
      </c>
      <c r="S136" s="14">
        <f>S109*Inputs!$H55</f>
        <v>9.4986900681932347E-3</v>
      </c>
      <c r="T136" s="14">
        <f>T109*Inputs!$H55</f>
        <v>9.7151371733136607E-3</v>
      </c>
      <c r="U136" s="14">
        <f>U109*Inputs!$H55</f>
        <v>9.9423880909882516E-3</v>
      </c>
      <c r="V136" s="14">
        <f>V109*Inputs!$H55</f>
        <v>1.0166820770379321E-2</v>
      </c>
      <c r="W136" s="14">
        <f>W109*Inputs!$H55</f>
        <v>1.0395060705841071E-2</v>
      </c>
      <c r="X136" s="187">
        <f>X109*Inputs!$H55</f>
        <v>1.0587308778016181E-2</v>
      </c>
      <c r="Y136" s="158">
        <f>Y109*Inputs!$H55</f>
        <v>1.0647917229952272E-2</v>
      </c>
      <c r="Z136" s="158">
        <f>Z109*Inputs!$H55</f>
        <v>1.0722912891285455E-2</v>
      </c>
      <c r="AA136" s="158">
        <f>AA109*Inputs!$H55</f>
        <v>1.0804207774577855E-2</v>
      </c>
      <c r="AB136" s="158">
        <f>AB109*Inputs!$H55</f>
        <v>1.0894705377789082E-2</v>
      </c>
      <c r="AC136" s="158">
        <f>AC109*Inputs!$H55</f>
        <v>1.0982130031602382E-2</v>
      </c>
      <c r="AD136" s="158">
        <f>AD109*Inputs!$H55</f>
        <v>1.1068778512944646E-2</v>
      </c>
      <c r="AE136" s="158">
        <f>AE109*Inputs!$H55</f>
        <v>1.1150560510327446E-2</v>
      </c>
      <c r="AF136" s="158">
        <f>AF109*Inputs!$H55</f>
        <v>1.1231846095609586E-2</v>
      </c>
      <c r="AG136" s="158">
        <f>AG109*Inputs!$H55</f>
        <v>1.131767950027906E-2</v>
      </c>
      <c r="AH136" s="187">
        <f>AH109*Inputs!$H55</f>
        <v>1.1406392025605986E-2</v>
      </c>
    </row>
    <row r="137" spans="1:35">
      <c r="A137" s="9" t="s">
        <v>344</v>
      </c>
      <c r="B137" s="35">
        <v>1</v>
      </c>
      <c r="C137" s="331">
        <f>C110*Inputs!$H56</f>
        <v>2.16E-3</v>
      </c>
      <c r="D137" s="331">
        <f>D110*Inputs!$H56</f>
        <v>3.1024226934342706E-3</v>
      </c>
      <c r="E137" s="331">
        <f>E110*Inputs!$H56</f>
        <v>4.1879384022512718E-3</v>
      </c>
      <c r="F137" s="331">
        <f>F110*Inputs!$H56</f>
        <v>4.5302991309690384E-3</v>
      </c>
      <c r="G137" s="331">
        <f>G110*Inputs!$H56</f>
        <v>6.5581982570258202E-3</v>
      </c>
      <c r="H137" s="402">
        <f>H110*Inputs!$H56</f>
        <v>2.16E-3</v>
      </c>
      <c r="I137" s="14">
        <f>I110*Inputs!$H56</f>
        <v>2.6691684894115403E-3</v>
      </c>
      <c r="J137" s="14">
        <f>J110*Inputs!$H56</f>
        <v>3.336198085147222E-3</v>
      </c>
      <c r="K137" s="14">
        <f>K110*Inputs!$H56</f>
        <v>4.2744290122734181E-3</v>
      </c>
      <c r="L137" s="14">
        <f>L110*Inputs!$H56</f>
        <v>5.4383886889894928E-3</v>
      </c>
      <c r="M137" s="14">
        <f>M110*Inputs!$H56</f>
        <v>6.8989589610675296E-3</v>
      </c>
      <c r="N137" s="187">
        <f>N110*Inputs!$H56</f>
        <v>8.7159590628246696E-3</v>
      </c>
      <c r="O137" s="14">
        <f>O110*Inputs!$H56</f>
        <v>8.9736773894014167E-3</v>
      </c>
      <c r="P137" s="14">
        <f>P110*Inputs!$H56</f>
        <v>9.2057793155447942E-3</v>
      </c>
      <c r="Q137" s="14">
        <f>Q110*Inputs!$H56</f>
        <v>9.4234604051501528E-3</v>
      </c>
      <c r="R137" s="14">
        <f>R110*Inputs!$H56</f>
        <v>9.6741098706677481E-3</v>
      </c>
      <c r="S137" s="14">
        <f>S110*Inputs!$H56</f>
        <v>9.911676592897288E-3</v>
      </c>
      <c r="T137" s="14">
        <f>T110*Inputs!$H56</f>
        <v>1.0137534441718603E-2</v>
      </c>
      <c r="U137" s="14">
        <f>U110*Inputs!$H56</f>
        <v>1.0374665834074698E-2</v>
      </c>
      <c r="V137" s="14">
        <f>V110*Inputs!$H56</f>
        <v>1.0608856456047987E-2</v>
      </c>
      <c r="W137" s="14">
        <f>W110*Inputs!$H56</f>
        <v>1.0847019866964597E-2</v>
      </c>
      <c r="X137" s="187">
        <f>X110*Inputs!$H56</f>
        <v>1.1047626550973407E-2</v>
      </c>
      <c r="Y137" s="158">
        <f>Y110*Inputs!$H56</f>
        <v>1.1110870152993675E-2</v>
      </c>
      <c r="Z137" s="158">
        <f>Z110*Inputs!$H56</f>
        <v>1.1189126495254387E-2</v>
      </c>
      <c r="AA137" s="158">
        <f>AA110*Inputs!$H56</f>
        <v>1.1273955938689937E-2</v>
      </c>
      <c r="AB137" s="158">
        <f>AB110*Inputs!$H56</f>
        <v>1.1368388220301652E-2</v>
      </c>
      <c r="AC137" s="158">
        <f>AC110*Inputs!$H56</f>
        <v>1.1459613946019877E-2</v>
      </c>
      <c r="AD137" s="158">
        <f>AD110*Inputs!$H56</f>
        <v>1.1550029752637893E-2</v>
      </c>
      <c r="AE137" s="158">
        <f>AE110*Inputs!$H56</f>
        <v>1.1635367489037336E-2</v>
      </c>
      <c r="AF137" s="158">
        <f>AF110*Inputs!$H56</f>
        <v>1.1720187230201309E-2</v>
      </c>
      <c r="AG137" s="158">
        <f>AG110*Inputs!$H56</f>
        <v>1.1809752522030323E-2</v>
      </c>
      <c r="AH137" s="187">
        <f>AH110*Inputs!$H56</f>
        <v>1.1902322113675812E-2</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113.52600000000001</v>
      </c>
      <c r="D139" s="331">
        <f>D112*Inputs!$H57</f>
        <v>163.41716623257838</v>
      </c>
      <c r="E139" s="331">
        <f>E112*Inputs!$H57</f>
        <v>479.62237275000001</v>
      </c>
      <c r="F139" s="331">
        <f>F112*Inputs!$H57</f>
        <v>565.98249600000008</v>
      </c>
      <c r="G139" s="331">
        <f>G112*Inputs!$H57</f>
        <v>650.53488600000003</v>
      </c>
      <c r="H139" s="402">
        <f>H112*Inputs!$H57</f>
        <v>652.09013100000004</v>
      </c>
      <c r="I139" s="14">
        <f>I112*Inputs!$H57</f>
        <v>807.57894447885678</v>
      </c>
      <c r="J139" s="14">
        <f>J112*Inputs!$H57</f>
        <v>1011.6166034122059</v>
      </c>
      <c r="K139" s="14">
        <f>K112*Inputs!$H57</f>
        <v>1298.9647047972089</v>
      </c>
      <c r="L139" s="14">
        <f>L112*Inputs!$H57</f>
        <v>1656.3213789376657</v>
      </c>
      <c r="M139" s="14">
        <f>M112*Inputs!$H57</f>
        <v>2105.7802439977099</v>
      </c>
      <c r="N139" s="182">
        <f>N112*Inputs!$H57</f>
        <v>2666.2433727993043</v>
      </c>
      <c r="O139" s="14">
        <f>O112*Inputs!$H57</f>
        <v>2745.0803401750436</v>
      </c>
      <c r="P139" s="14">
        <f>P112*Inputs!$H57</f>
        <v>2816.0811580922841</v>
      </c>
      <c r="Q139" s="14">
        <f>Q112*Inputs!$H57</f>
        <v>2882.6705900022503</v>
      </c>
      <c r="R139" s="14">
        <f>R112*Inputs!$H57</f>
        <v>2959.3451672363699</v>
      </c>
      <c r="S139" s="14">
        <f>S112*Inputs!$H57</f>
        <v>3032.0176860236361</v>
      </c>
      <c r="T139" s="14">
        <f>T112*Inputs!$H57</f>
        <v>3101.1084181248234</v>
      </c>
      <c r="U139" s="14">
        <f>U112*Inputs!$H57</f>
        <v>3173.6477679307195</v>
      </c>
      <c r="V139" s="14">
        <f>V112*Inputs!$H57</f>
        <v>3245.287525449919</v>
      </c>
      <c r="W139" s="14">
        <f>W112*Inputs!$H57</f>
        <v>3318.1425734627187</v>
      </c>
      <c r="X139" s="187">
        <f>X112*Inputs!$H57</f>
        <v>3379.5088830016243</v>
      </c>
      <c r="Y139" s="158">
        <f>Y112*Inputs!$H57</f>
        <v>3398.8553293930158</v>
      </c>
      <c r="Z139" s="158">
        <f>Z112*Inputs!$H57</f>
        <v>3422.7942272731207</v>
      </c>
      <c r="AA139" s="158">
        <f>AA112*Inputs!$H57</f>
        <v>3448.7438605547836</v>
      </c>
      <c r="AB139" s="158">
        <f>AB112*Inputs!$H57</f>
        <v>3477.6310367347924</v>
      </c>
      <c r="AC139" s="158">
        <f>AC112*Inputs!$H57</f>
        <v>3505.5373158799584</v>
      </c>
      <c r="AD139" s="158">
        <f>AD112*Inputs!$H57</f>
        <v>3533.1958378456943</v>
      </c>
      <c r="AE139" s="158">
        <f>AE112*Inputs!$H57</f>
        <v>3559.30095978175</v>
      </c>
      <c r="AF139" s="158">
        <f>AF112*Inputs!$H57</f>
        <v>3585.2476251034786</v>
      </c>
      <c r="AG139" s="158">
        <f>AG112*Inputs!$H57</f>
        <v>3612.6459715218884</v>
      </c>
      <c r="AH139" s="187">
        <f>AH112*Inputs!$H57</f>
        <v>3640.9633441103183</v>
      </c>
      <c r="AI139" s="31">
        <f>SUM(C139:X139)</f>
        <v>42824.568409904918</v>
      </c>
    </row>
    <row r="140" spans="1:35">
      <c r="A140" s="10" t="s">
        <v>384</v>
      </c>
      <c r="C140" s="331">
        <f t="shared" ref="C140:AH140" si="91">SUM(C127:C139)</f>
        <v>335.92580999999996</v>
      </c>
      <c r="D140" s="331">
        <f t="shared" si="91"/>
        <v>424.33144443417189</v>
      </c>
      <c r="E140" s="331">
        <f t="shared" si="91"/>
        <v>767.22328322681017</v>
      </c>
      <c r="F140" s="331">
        <f t="shared" si="91"/>
        <v>819.98368946461414</v>
      </c>
      <c r="G140" s="331">
        <f t="shared" si="91"/>
        <v>950.81502630495208</v>
      </c>
      <c r="H140" s="402">
        <f t="shared" si="91"/>
        <v>951.26268187196354</v>
      </c>
      <c r="I140" s="14">
        <f t="shared" si="91"/>
        <v>1109.7682097804784</v>
      </c>
      <c r="J140" s="14">
        <f t="shared" si="91"/>
        <v>1320.1400453425449</v>
      </c>
      <c r="K140" s="14">
        <f t="shared" si="91"/>
        <v>1621.6524184459677</v>
      </c>
      <c r="L140" s="14">
        <f t="shared" si="91"/>
        <v>1991.3054307505197</v>
      </c>
      <c r="M140" s="14">
        <f t="shared" si="91"/>
        <v>2452.3842736369115</v>
      </c>
      <c r="N140" s="182">
        <f t="shared" si="91"/>
        <v>3023.3545889471029</v>
      </c>
      <c r="O140" s="14">
        <f t="shared" si="91"/>
        <v>3106.5003461351889</v>
      </c>
      <c r="P140" s="14">
        <f t="shared" si="91"/>
        <v>3180.5370170866508</v>
      </c>
      <c r="Q140" s="14">
        <f t="shared" si="91"/>
        <v>3249.3839761054428</v>
      </c>
      <c r="R140" s="14">
        <f t="shared" si="91"/>
        <v>3329.385278666944</v>
      </c>
      <c r="S140" s="14">
        <f t="shared" si="91"/>
        <v>3404.6632224351001</v>
      </c>
      <c r="T140" s="14">
        <f t="shared" si="91"/>
        <v>3475.7205634032603</v>
      </c>
      <c r="U140" s="14">
        <f t="shared" si="91"/>
        <v>3550.4505953860476</v>
      </c>
      <c r="V140" s="14">
        <f t="shared" si="91"/>
        <v>3623.9820843780763</v>
      </c>
      <c r="W140" s="14">
        <f t="shared" si="91"/>
        <v>3698.6835510269966</v>
      </c>
      <c r="X140" s="187">
        <f t="shared" si="91"/>
        <v>3760.4173619427706</v>
      </c>
      <c r="Y140" s="158">
        <f t="shared" si="91"/>
        <v>3781.2453751938338</v>
      </c>
      <c r="Z140" s="158">
        <f t="shared" si="91"/>
        <v>3807.1618250372617</v>
      </c>
      <c r="AA140" s="158">
        <f t="shared" si="91"/>
        <v>3835.2927222132084</v>
      </c>
      <c r="AB140" s="158">
        <f t="shared" si="91"/>
        <v>3866.6672325476306</v>
      </c>
      <c r="AC140" s="158">
        <f t="shared" si="91"/>
        <v>3896.9274589503852</v>
      </c>
      <c r="AD140" s="158">
        <f t="shared" si="91"/>
        <v>3926.8888260417671</v>
      </c>
      <c r="AE140" s="158">
        <f t="shared" si="91"/>
        <v>3955.1006220134554</v>
      </c>
      <c r="AF140" s="158">
        <f t="shared" si="91"/>
        <v>3983.1136154356241</v>
      </c>
      <c r="AG140" s="158">
        <f t="shared" si="91"/>
        <v>4012.716340831822</v>
      </c>
      <c r="AH140" s="187">
        <f t="shared" si="91"/>
        <v>4043.3162427631833</v>
      </c>
      <c r="AI140" s="48" t="s">
        <v>0</v>
      </c>
    </row>
    <row r="141" spans="1:35">
      <c r="A141" s="10" t="s">
        <v>387</v>
      </c>
      <c r="C141" s="331">
        <f>SUM(C128:C130)</f>
        <v>222.20864999999998</v>
      </c>
      <c r="D141" s="331">
        <f t="shared" ref="D141:AH141" si="92">SUM(D128:D130)</f>
        <v>260.54889982969661</v>
      </c>
      <c r="E141" s="331">
        <f t="shared" si="92"/>
        <v>286.92183131821321</v>
      </c>
      <c r="F141" s="331">
        <f t="shared" si="92"/>
        <v>253.03163102752481</v>
      </c>
      <c r="G141" s="331">
        <f t="shared" si="92"/>
        <v>298.42909122218373</v>
      </c>
      <c r="H141" s="402">
        <f t="shared" si="92"/>
        <v>299.09688244355721</v>
      </c>
      <c r="I141" s="14">
        <f t="shared" si="92"/>
        <v>302.0754455518404</v>
      </c>
      <c r="J141" s="14">
        <f t="shared" si="92"/>
        <v>308.34728895833587</v>
      </c>
      <c r="K141" s="14">
        <f t="shared" si="92"/>
        <v>322.40407016527161</v>
      </c>
      <c r="L141" s="14">
        <f t="shared" si="92"/>
        <v>334.52476470115568</v>
      </c>
      <c r="M141" s="14">
        <f t="shared" si="92"/>
        <v>345.85478895215022</v>
      </c>
      <c r="N141" s="187">
        <f t="shared" si="92"/>
        <v>355.88373624730548</v>
      </c>
      <c r="O141" s="14">
        <f t="shared" si="92"/>
        <v>360.15623125106248</v>
      </c>
      <c r="P141" s="14">
        <f t="shared" si="92"/>
        <v>363.15939706782979</v>
      </c>
      <c r="Q141" s="14">
        <f t="shared" si="92"/>
        <v>365.38626786444922</v>
      </c>
      <c r="R141" s="14">
        <f t="shared" si="92"/>
        <v>368.67769390017804</v>
      </c>
      <c r="S141" s="14">
        <f t="shared" si="92"/>
        <v>371.24966204924254</v>
      </c>
      <c r="T141" s="14">
        <f t="shared" si="92"/>
        <v>373.18446306032746</v>
      </c>
      <c r="U141" s="14">
        <f t="shared" si="92"/>
        <v>375.34174971346755</v>
      </c>
      <c r="V141" s="14">
        <f t="shared" si="92"/>
        <v>377.20049981508043</v>
      </c>
      <c r="W141" s="14">
        <f t="shared" si="92"/>
        <v>379.01337758692853</v>
      </c>
      <c r="X141" s="187">
        <f t="shared" si="92"/>
        <v>379.35262726243513</v>
      </c>
      <c r="Y141" s="158">
        <f t="shared" si="92"/>
        <v>380.82528744301914</v>
      </c>
      <c r="Z141" s="158">
        <f t="shared" si="92"/>
        <v>382.79181846343499</v>
      </c>
      <c r="AA141" s="158">
        <f t="shared" si="92"/>
        <v>384.96113571638699</v>
      </c>
      <c r="AB141" s="158">
        <f t="shared" si="92"/>
        <v>387.43517084922377</v>
      </c>
      <c r="AC141" s="158">
        <f t="shared" si="92"/>
        <v>389.77627066869115</v>
      </c>
      <c r="AD141" s="158">
        <f t="shared" si="92"/>
        <v>392.06638241818086</v>
      </c>
      <c r="AE141" s="158">
        <f t="shared" si="92"/>
        <v>394.16103822891944</v>
      </c>
      <c r="AF141" s="158">
        <f t="shared" si="92"/>
        <v>396.21542105441102</v>
      </c>
      <c r="AG141" s="158">
        <f t="shared" si="92"/>
        <v>398.40718643515152</v>
      </c>
      <c r="AH141" s="187">
        <f t="shared" si="92"/>
        <v>400.67667908156784</v>
      </c>
      <c r="AI141" s="48"/>
    </row>
    <row r="142" spans="1:35">
      <c r="A142" s="10" t="s">
        <v>386</v>
      </c>
      <c r="C142" s="330">
        <f t="shared" ref="C142:AH142" si="93">SUMPRODUCT($B131:$B139,C131:C139)</f>
        <v>113.71716000000001</v>
      </c>
      <c r="D142" s="330">
        <f t="shared" si="93"/>
        <v>163.78254460447528</v>
      </c>
      <c r="E142" s="330">
        <f t="shared" si="93"/>
        <v>480.30145190859696</v>
      </c>
      <c r="F142" s="330">
        <f t="shared" si="93"/>
        <v>566.95205843708925</v>
      </c>
      <c r="G142" s="330">
        <f t="shared" si="93"/>
        <v>652.38593508276836</v>
      </c>
      <c r="H142" s="286">
        <f t="shared" si="93"/>
        <v>652.16579942840633</v>
      </c>
      <c r="I142" s="40">
        <f t="shared" si="93"/>
        <v>807.692764228638</v>
      </c>
      <c r="J142" s="40">
        <f t="shared" si="93"/>
        <v>1011.792756384209</v>
      </c>
      <c r="K142" s="40">
        <f t="shared" si="93"/>
        <v>1299.2483482806961</v>
      </c>
      <c r="L142" s="40">
        <f t="shared" si="93"/>
        <v>1656.7806660493641</v>
      </c>
      <c r="M142" s="40">
        <f t="shared" si="93"/>
        <v>2106.5294846847614</v>
      </c>
      <c r="N142" s="177">
        <f t="shared" si="93"/>
        <v>2667.4708526997974</v>
      </c>
      <c r="O142" s="40">
        <f t="shared" si="93"/>
        <v>2746.3441148841266</v>
      </c>
      <c r="P142" s="40">
        <f t="shared" si="93"/>
        <v>2817.3776200188208</v>
      </c>
      <c r="Q142" s="40">
        <f t="shared" si="93"/>
        <v>2883.9977082409937</v>
      </c>
      <c r="R142" s="40">
        <f t="shared" si="93"/>
        <v>2960.7075847667661</v>
      </c>
      <c r="S142" s="40">
        <f t="shared" si="93"/>
        <v>3033.4135603858576</v>
      </c>
      <c r="T142" s="40">
        <f t="shared" si="93"/>
        <v>3102.536100342933</v>
      </c>
      <c r="U142" s="40">
        <f t="shared" si="93"/>
        <v>3175.1088456725797</v>
      </c>
      <c r="V142" s="40">
        <f t="shared" si="93"/>
        <v>3246.7815845629957</v>
      </c>
      <c r="W142" s="40">
        <f t="shared" si="93"/>
        <v>3319.6701734400681</v>
      </c>
      <c r="X142" s="184">
        <f t="shared" si="93"/>
        <v>3381.0647346803353</v>
      </c>
      <c r="Y142" s="271">
        <f t="shared" si="93"/>
        <v>3400.4200877508147</v>
      </c>
      <c r="Z142" s="271">
        <f t="shared" si="93"/>
        <v>3424.3700065738267</v>
      </c>
      <c r="AA142" s="271">
        <f t="shared" si="93"/>
        <v>3450.3315864968213</v>
      </c>
      <c r="AB142" s="271">
        <f t="shared" si="93"/>
        <v>3479.2320616984066</v>
      </c>
      <c r="AC142" s="271">
        <f t="shared" si="93"/>
        <v>3507.151188281694</v>
      </c>
      <c r="AD142" s="271">
        <f t="shared" si="93"/>
        <v>3534.8224436235864</v>
      </c>
      <c r="AE142" s="271">
        <f t="shared" si="93"/>
        <v>3560.9395837845359</v>
      </c>
      <c r="AF142" s="271">
        <f t="shared" si="93"/>
        <v>3586.8981943812128</v>
      </c>
      <c r="AG142" s="271">
        <f t="shared" si="93"/>
        <v>3614.3091543966702</v>
      </c>
      <c r="AH142" s="184">
        <f t="shared" si="93"/>
        <v>3642.6395636816155</v>
      </c>
    </row>
    <row r="143" spans="1:35">
      <c r="A143" s="10" t="s">
        <v>142</v>
      </c>
      <c r="C143" s="331">
        <f>C116*Inputs!$H$60</f>
        <v>4725.4283999999998</v>
      </c>
      <c r="D143" s="331">
        <f>D116*Inputs!$H$60</f>
        <v>7668.1667913026522</v>
      </c>
      <c r="E143" s="331">
        <f>E116*Inputs!$H$60</f>
        <v>7989.7776076032824</v>
      </c>
      <c r="F143" s="331">
        <f>F116*Inputs!$H$60</f>
        <v>6739.3219395627202</v>
      </c>
      <c r="G143" s="331">
        <f>G116*Inputs!$H$60</f>
        <v>7776.3594254695126</v>
      </c>
      <c r="H143" s="402">
        <f>H116*Inputs!$H$60</f>
        <v>7786.5861906283944</v>
      </c>
      <c r="I143" s="14">
        <f>I116*Inputs!$H$60</f>
        <v>7526.1990224073315</v>
      </c>
      <c r="J143" s="14">
        <f>J116*Inputs!$H$60</f>
        <v>7326.3479542145615</v>
      </c>
      <c r="K143" s="14">
        <f>K116*Inputs!$H$60</f>
        <v>7280.0404131571922</v>
      </c>
      <c r="L143" s="14">
        <f>L116*Inputs!$H$60</f>
        <v>7133.6464361379212</v>
      </c>
      <c r="M143" s="14">
        <f>M116*Inputs!$H$60</f>
        <v>6905.0449000403078</v>
      </c>
      <c r="N143" s="182">
        <f>N116*Inputs!$H$60</f>
        <v>6571.7804468283439</v>
      </c>
      <c r="O143" s="14">
        <f>O116*Inputs!$H$60</f>
        <v>6578.0620833312687</v>
      </c>
      <c r="P143" s="14">
        <f>P116*Inputs!$H$60</f>
        <v>6557.3492035473737</v>
      </c>
      <c r="Q143" s="14">
        <f>Q116*Inputs!$H$60</f>
        <v>6519.658736936206</v>
      </c>
      <c r="R143" s="14">
        <f>R116*Inputs!$H$60</f>
        <v>6502.69149276197</v>
      </c>
      <c r="S143" s="14">
        <f>S116*Inputs!$H$60</f>
        <v>6471.1538004764579</v>
      </c>
      <c r="T143" s="14">
        <f>T116*Inputs!$H$60</f>
        <v>6423.9645007480385</v>
      </c>
      <c r="U143" s="14">
        <f>U116*Inputs!$H$60</f>
        <v>6381.7915854110752</v>
      </c>
      <c r="V143" s="14">
        <f>V116*Inputs!$H$60</f>
        <v>6334.9069175892964</v>
      </c>
      <c r="W143" s="14">
        <f>W116*Inputs!$H$60</f>
        <v>6284.9519575316872</v>
      </c>
      <c r="X143" s="187">
        <f>X116*Inputs!$H$60</f>
        <v>6210.8699550795609</v>
      </c>
      <c r="Y143" s="158">
        <f>Y116*Inputs!$H$60</f>
        <v>6176.4293345762117</v>
      </c>
      <c r="Z143" s="158">
        <f>Z116*Inputs!$H$60</f>
        <v>6150.4528410380508</v>
      </c>
      <c r="AA143" s="158">
        <f>AA116*Inputs!$H$60</f>
        <v>6127.3673883123338</v>
      </c>
      <c r="AB143" s="158">
        <f>AB116*Inputs!$H$60</f>
        <v>6109.8450526233337</v>
      </c>
      <c r="AC143" s="158">
        <f>AC116*Inputs!$H$60</f>
        <v>6090.6852082166497</v>
      </c>
      <c r="AD143" s="158">
        <f>AD116*Inputs!$H$60</f>
        <v>6070.2898612200861</v>
      </c>
      <c r="AE143" s="158">
        <f>AE116*Inputs!$H$60</f>
        <v>6047.2561498466011</v>
      </c>
      <c r="AF143" s="158">
        <f>AF116*Inputs!$H$60</f>
        <v>6024.0741840554265</v>
      </c>
      <c r="AG143" s="158">
        <f>AG116*Inputs!$H$60</f>
        <v>6004.023161819724</v>
      </c>
      <c r="AH143" s="187">
        <f>AH116*Inputs!$H$60</f>
        <v>5984.4461427846236</v>
      </c>
      <c r="AI143" s="48"/>
    </row>
    <row r="144" spans="1:35">
      <c r="A144" s="10" t="s">
        <v>222</v>
      </c>
      <c r="C144" s="331">
        <f>C117*Inputs!$H$61</f>
        <v>2025.1835999999998</v>
      </c>
      <c r="D144" s="331">
        <f>D117*Inputs!$H$61</f>
        <v>13.737310625767218</v>
      </c>
      <c r="E144" s="331">
        <f>E117*Inputs!$H$61</f>
        <v>47.722682071110953</v>
      </c>
      <c r="F144" s="331">
        <f>F117*Inputs!$H$61</f>
        <v>67.759800050030947</v>
      </c>
      <c r="G144" s="331">
        <f>G117*Inputs!$H$61</f>
        <v>55.143715057057996</v>
      </c>
      <c r="H144" s="402">
        <f>H117*Inputs!$H$61</f>
        <v>53.120699595156857</v>
      </c>
      <c r="I144" s="14">
        <f>I117*Inputs!$H$61</f>
        <v>58.074876218969322</v>
      </c>
      <c r="J144" s="14">
        <f>J117*Inputs!$H$61</f>
        <v>65.504158713627533</v>
      </c>
      <c r="K144" s="14">
        <f>K117*Inputs!$H$61</f>
        <v>65.805408783428319</v>
      </c>
      <c r="L144" s="14">
        <f>L117*Inputs!$H$61</f>
        <v>65.25376847027151</v>
      </c>
      <c r="M144" s="14">
        <f>M117*Inputs!$H$61</f>
        <v>63.597886575914131</v>
      </c>
      <c r="N144" s="182">
        <f>N117*Inputs!$H$61</f>
        <v>60.779821670923013</v>
      </c>
      <c r="O144" s="14">
        <f>O117*Inputs!$H$61</f>
        <v>59.253899651717084</v>
      </c>
      <c r="P144" s="14">
        <f>P117*Inputs!$H$61</f>
        <v>59.688515965383502</v>
      </c>
      <c r="Q144" s="14">
        <f>Q117*Inputs!$H$61</f>
        <v>61.741669001182132</v>
      </c>
      <c r="R144" s="14">
        <f>R117*Inputs!$H$61</f>
        <v>61.031301026282875</v>
      </c>
      <c r="S144" s="14">
        <f>S117*Inputs!$H$61</f>
        <v>60.637059858741843</v>
      </c>
      <c r="T144" s="14">
        <f>T117*Inputs!$H$61</f>
        <v>63.534459257219673</v>
      </c>
      <c r="U144" s="14">
        <f>U117*Inputs!$H$61</f>
        <v>64.192457815880815</v>
      </c>
      <c r="V144" s="14">
        <f>V117*Inputs!$H$61</f>
        <v>63.336788549318968</v>
      </c>
      <c r="W144" s="14">
        <f>W117*Inputs!$H$61</f>
        <v>63.709560829084268</v>
      </c>
      <c r="X144" s="187">
        <f>X117*Inputs!$H$61</f>
        <v>62.70231277297264</v>
      </c>
      <c r="Y144" s="158">
        <f>Y117*Inputs!$H$61</f>
        <v>66.120157749157897</v>
      </c>
      <c r="Z144" s="158">
        <f>Z117*Inputs!$H$61</f>
        <v>69.172003710802016</v>
      </c>
      <c r="AA144" s="158">
        <f>AA117*Inputs!$H$61</f>
        <v>72.519324064626161</v>
      </c>
      <c r="AB144" s="158">
        <f>AB117*Inputs!$H$61</f>
        <v>75.048223653976095</v>
      </c>
      <c r="AC144" s="158">
        <f>AC117*Inputs!$H$61</f>
        <v>76.9238096875754</v>
      </c>
      <c r="AD144" s="158">
        <f>AD117*Inputs!$H$61</f>
        <v>79.066353039891624</v>
      </c>
      <c r="AE144" s="158">
        <f>AE117*Inputs!$H$61</f>
        <v>80.646639847351096</v>
      </c>
      <c r="AF144" s="158">
        <f>AF117*Inputs!$H$61</f>
        <v>81.656189934831005</v>
      </c>
      <c r="AG144" s="158">
        <f>AG117*Inputs!$H$61</f>
        <v>81.53314844789594</v>
      </c>
      <c r="AH144" s="187">
        <f>AH117*Inputs!$H$61</f>
        <v>82.000275113530364</v>
      </c>
      <c r="AI144" s="48"/>
    </row>
    <row r="145" spans="1:35">
      <c r="A145" s="10" t="s">
        <v>58</v>
      </c>
      <c r="C145" s="331">
        <f>SUM(C140,C143,C144)</f>
        <v>7086.5378099999998</v>
      </c>
      <c r="D145" s="331">
        <f>SUM(D140,D143,D144)</f>
        <v>8106.2355463625918</v>
      </c>
      <c r="E145" s="331">
        <f t="shared" ref="E145:AH145" si="94">SUM(E140,E143,E144)</f>
        <v>8804.7235729012045</v>
      </c>
      <c r="F145" s="331">
        <f t="shared" si="94"/>
        <v>7627.0654290773655</v>
      </c>
      <c r="G145" s="331">
        <f t="shared" si="94"/>
        <v>8782.3181668315228</v>
      </c>
      <c r="H145" s="402">
        <f t="shared" si="94"/>
        <v>8790.9695720955133</v>
      </c>
      <c r="I145" s="14">
        <f t="shared" si="94"/>
        <v>8694.0421084067784</v>
      </c>
      <c r="J145" s="14">
        <f t="shared" si="94"/>
        <v>8711.9921582707339</v>
      </c>
      <c r="K145" s="14">
        <f t="shared" si="94"/>
        <v>8967.498240386587</v>
      </c>
      <c r="L145" s="14">
        <f t="shared" si="94"/>
        <v>9190.2056353587122</v>
      </c>
      <c r="M145" s="14">
        <f t="shared" si="94"/>
        <v>9421.0270602531327</v>
      </c>
      <c r="N145" s="187">
        <f t="shared" si="94"/>
        <v>9655.9148574463707</v>
      </c>
      <c r="O145" s="14">
        <f t="shared" si="94"/>
        <v>9743.8163291181754</v>
      </c>
      <c r="P145" s="14">
        <f t="shared" si="94"/>
        <v>9797.5747365994066</v>
      </c>
      <c r="Q145" s="14">
        <f t="shared" si="94"/>
        <v>9830.7843820428297</v>
      </c>
      <c r="R145" s="14">
        <f t="shared" si="94"/>
        <v>9893.1080724551975</v>
      </c>
      <c r="S145" s="14">
        <f t="shared" si="94"/>
        <v>9936.4540827703004</v>
      </c>
      <c r="T145" s="14">
        <f t="shared" si="94"/>
        <v>9963.2195234085193</v>
      </c>
      <c r="U145" s="14">
        <f t="shared" si="94"/>
        <v>9996.4346386130037</v>
      </c>
      <c r="V145" s="14">
        <f t="shared" si="94"/>
        <v>10022.225790516692</v>
      </c>
      <c r="W145" s="14">
        <f t="shared" si="94"/>
        <v>10047.345069387768</v>
      </c>
      <c r="X145" s="187">
        <f t="shared" si="94"/>
        <v>10033.989629795306</v>
      </c>
      <c r="Y145" s="158">
        <f t="shared" si="94"/>
        <v>10023.794867519204</v>
      </c>
      <c r="Z145" s="158">
        <f t="shared" si="94"/>
        <v>10026.786669786115</v>
      </c>
      <c r="AA145" s="158">
        <f t="shared" si="94"/>
        <v>10035.179434590169</v>
      </c>
      <c r="AB145" s="158">
        <f t="shared" si="94"/>
        <v>10051.560508824939</v>
      </c>
      <c r="AC145" s="158">
        <f t="shared" si="94"/>
        <v>10064.536476854611</v>
      </c>
      <c r="AD145" s="158">
        <f t="shared" si="94"/>
        <v>10076.245040301746</v>
      </c>
      <c r="AE145" s="158">
        <f t="shared" si="94"/>
        <v>10083.003411707408</v>
      </c>
      <c r="AF145" s="158">
        <f t="shared" si="94"/>
        <v>10088.843989425881</v>
      </c>
      <c r="AG145" s="158">
        <f t="shared" si="94"/>
        <v>10098.272651099442</v>
      </c>
      <c r="AH145" s="187">
        <f t="shared" si="94"/>
        <v>10109.762660661338</v>
      </c>
      <c r="AI145" s="48"/>
    </row>
    <row r="146" spans="1:35" s="1" customFormat="1">
      <c r="A146" s="1" t="s">
        <v>335</v>
      </c>
      <c r="B146" s="13"/>
      <c r="C146" s="341">
        <f>C145-'Output - Jobs vs Yr (BAU)'!C73</f>
        <v>-9.9270000000615255E-2</v>
      </c>
      <c r="D146" s="341">
        <f>D145-'Output - Jobs vs Yr (BAU)'!D73</f>
        <v>27.510466362590705</v>
      </c>
      <c r="E146" s="341">
        <f>E145-'Output - Jobs vs Yr (BAU)'!E73</f>
        <v>2.8562199839125242</v>
      </c>
      <c r="F146" s="341">
        <f>F145-'Output - Jobs vs Yr (BAU)'!F73</f>
        <v>9.8889286363164501</v>
      </c>
      <c r="G146" s="341">
        <f>G145-'Output - Jobs vs Yr (BAU)'!G73</f>
        <v>5.941979923620238</v>
      </c>
      <c r="H146" s="405">
        <f>H145-'Output - Jobs vs Yr (BAU)'!H73</f>
        <v>-0.10224000000380329</v>
      </c>
      <c r="I146" s="15">
        <f>I145-'Output - Jobs vs Yr (BAU)'!I73</f>
        <v>48.995281593784966</v>
      </c>
      <c r="J146" s="15">
        <f>J145-'Output - Jobs vs Yr (BAU)'!J73</f>
        <v>119.64651184038667</v>
      </c>
      <c r="K146" s="15">
        <f>K145-'Output - Jobs vs Yr (BAU)'!K73</f>
        <v>216.00306938914218</v>
      </c>
      <c r="L146" s="15">
        <f>L145-'Output - Jobs vs Yr (BAU)'!L73</f>
        <v>345.32939977505521</v>
      </c>
      <c r="M146" s="15">
        <f>M145-'Output - Jobs vs Yr (BAU)'!M73</f>
        <v>507.04825855433774</v>
      </c>
      <c r="N146" s="182">
        <f>N145-'Output - Jobs vs Yr (BAU)'!N73</f>
        <v>707.57619740128939</v>
      </c>
      <c r="O146" s="15">
        <f>O145-'Output - Jobs vs Yr (BAU)'!O73</f>
        <v>735.27584164241307</v>
      </c>
      <c r="P146" s="15">
        <f>P145-'Output - Jobs vs Yr (BAU)'!P73</f>
        <v>761.01500053545533</v>
      </c>
      <c r="Q146" s="15">
        <f>Q145-'Output - Jobs vs Yr (BAU)'!Q73</f>
        <v>780.92272969025726</v>
      </c>
      <c r="R146" s="15">
        <f>R145-'Output - Jobs vs Yr (BAU)'!R73</f>
        <v>808.63207782829886</v>
      </c>
      <c r="S146" s="15">
        <f>S145-'Output - Jobs vs Yr (BAU)'!S73</f>
        <v>834.65292868907818</v>
      </c>
      <c r="T146" s="15">
        <f>T145-'Output - Jobs vs Yr (BAU)'!T73</f>
        <v>859.13590586279497</v>
      </c>
      <c r="U146" s="15">
        <f>U145-'Output - Jobs vs Yr (BAU)'!U73</f>
        <v>884.86501391256206</v>
      </c>
      <c r="V146" s="15">
        <f>V145-'Output - Jobs vs Yr (BAU)'!V73</f>
        <v>909.55004656617712</v>
      </c>
      <c r="W146" s="15">
        <f>W145-'Output - Jobs vs Yr (BAU)'!W73</f>
        <v>935.28722667829788</v>
      </c>
      <c r="X146" s="190">
        <f>X145-'Output - Jobs vs Yr (BAU)'!X73</f>
        <v>956.07455979492988</v>
      </c>
      <c r="Y146" s="130">
        <f>Y145-'Output - Jobs vs Yr (BAU)'!Y73</f>
        <v>961.59055256602915</v>
      </c>
      <c r="Z146" s="130">
        <f>Z145-'Output - Jobs vs Yr (BAU)'!Z73</f>
        <v>969.03302296904621</v>
      </c>
      <c r="AA146" s="130">
        <f>AA145-'Output - Jobs vs Yr (BAU)'!AA73</f>
        <v>978.02224269852741</v>
      </c>
      <c r="AB146" s="130">
        <f>AB145-'Output - Jobs vs Yr (BAU)'!AB73</f>
        <v>986.22391103056907</v>
      </c>
      <c r="AC146" s="130">
        <f>AC145-'Output - Jobs vs Yr (BAU)'!AC73</f>
        <v>994.54691910951078</v>
      </c>
      <c r="AD146" s="130">
        <f>AD145-'Output - Jobs vs Yr (BAU)'!AD73</f>
        <v>1003.8231422532263</v>
      </c>
      <c r="AE146" s="130">
        <f>AE145-'Output - Jobs vs Yr (BAU)'!AE73</f>
        <v>1012.1285182073643</v>
      </c>
      <c r="AF146" s="130">
        <f>AF145-'Output - Jobs vs Yr (BAU)'!AF73</f>
        <v>1020.7065266386271</v>
      </c>
      <c r="AG146" s="130">
        <f>AG145-'Output - Jobs vs Yr (BAU)'!AG73</f>
        <v>1028.7747028213034</v>
      </c>
      <c r="AH146" s="190">
        <f>AH145-'Output - Jobs vs Yr (BAU)'!AH73</f>
        <v>1036.35646673265</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14960.67828</v>
      </c>
      <c r="D176" s="334">
        <f>'Output - Jobs vs Yr (BAU)'!D55+'Output - Jobs vs Yr (BAU)'!D73</f>
        <v>17055.086280000003</v>
      </c>
      <c r="E176" s="334">
        <f>'Output - Jobs vs Yr (BAU)'!E55+'Output - Jobs vs Yr (BAU)'!E73</f>
        <v>18581.719967269837</v>
      </c>
      <c r="F176" s="334">
        <f>'Output - Jobs vs Yr (BAU)'!F55+'Output - Jobs vs Yr (BAU)'!F73</f>
        <v>16080.705945375546</v>
      </c>
      <c r="G176" s="334">
        <f>'Output - Jobs vs Yr (BAU)'!G55+'Output - Jobs vs Yr (BAU)'!G73</f>
        <v>18527.905283472239</v>
      </c>
      <c r="H176" s="404">
        <f>'Output - Jobs vs Yr (BAU)'!H55+'Output - Jobs vs Yr (BAU)'!H73</f>
        <v>18558.929381090536</v>
      </c>
      <c r="I176" s="19">
        <f>'Output - Jobs vs Yr (BAU)'!I55+'Output - Jobs vs Yr (BAU)'!I73</f>
        <v>18250.654412160766</v>
      </c>
      <c r="J176" s="19">
        <f>'Output - Jobs vs Yr (BAU)'!J55+'Output - Jobs vs Yr (BAU)'!J73</f>
        <v>18139.39636468629</v>
      </c>
      <c r="K176" s="19">
        <f>'Output - Jobs vs Yr (BAU)'!K55+'Output - Jobs vs Yr (BAU)'!K73</f>
        <v>18475.378694327937</v>
      </c>
      <c r="L176" s="19">
        <f>'Output - Jobs vs Yr (BAU)'!L55+'Output - Jobs vs Yr (BAU)'!L73</f>
        <v>18672.516497343277</v>
      </c>
      <c r="M176" s="19">
        <f>'Output - Jobs vs Yr (BAU)'!M55+'Output - Jobs vs Yr (BAU)'!M73</f>
        <v>18818.399692475235</v>
      </c>
      <c r="N176" s="182">
        <f>'Output - Jobs vs Yr (BAU)'!N55+'Output - Jobs vs Yr (BAU)'!N73</f>
        <v>18890.937171206286</v>
      </c>
      <c r="O176" s="19">
        <f>'Output - Jobs vs Yr (BAU)'!O55+'Output - Jobs vs Yr (BAU)'!O73</f>
        <v>19018.029918004388</v>
      </c>
      <c r="P176" s="19">
        <f>'Output - Jobs vs Yr (BAU)'!P55+'Output - Jobs vs Yr (BAU)'!P73</f>
        <v>19077.181665023898</v>
      </c>
      <c r="Q176" s="19">
        <f>'Output - Jobs vs Yr (BAU)'!Q55+'Output - Jobs vs Yr (BAU)'!Q73</f>
        <v>19105.263488299875</v>
      </c>
      <c r="R176" s="19">
        <f>'Output - Jobs vs Yr (BAU)'!R55+'Output - Jobs vs Yr (BAU)'!R73</f>
        <v>19178.338210879007</v>
      </c>
      <c r="S176" s="19">
        <f>'Output - Jobs vs Yr (BAU)'!S55+'Output - Jobs vs Yr (BAU)'!S73</f>
        <v>19214.913547504802</v>
      </c>
      <c r="T176" s="19">
        <f>'Output - Jobs vs Yr (BAU)'!T55+'Output - Jobs vs Yr (BAU)'!T73</f>
        <v>19219.732081485417</v>
      </c>
      <c r="U176" s="19">
        <f>'Output - Jobs vs Yr (BAU)'!U55+'Output - Jobs vs Yr (BAU)'!U73</f>
        <v>19235.535874367597</v>
      </c>
      <c r="V176" s="19">
        <f>'Output - Jobs vs Yr (BAU)'!V55+'Output - Jobs vs Yr (BAU)'!V73</f>
        <v>19237.87101500664</v>
      </c>
      <c r="W176" s="19">
        <f>'Output - Jobs vs Yr (BAU)'!W55+'Output - Jobs vs Yr (BAU)'!W73</f>
        <v>19236.566556831101</v>
      </c>
      <c r="X176" s="182">
        <f>'Output - Jobs vs Yr (BAU)'!X55+'Output - Jobs vs Yr (BAU)'!X73</f>
        <v>19164.487370000796</v>
      </c>
      <c r="Y176" s="206">
        <f>'Output - Jobs vs Yr (BAU)'!Y55+'Output - Jobs vs Yr (BAU)'!Y73</f>
        <v>19131.320220456702</v>
      </c>
      <c r="Z176" s="206">
        <f>'Output - Jobs vs Yr (BAU)'!Z55+'Output - Jobs vs Yr (BAU)'!Z73</f>
        <v>19121.924365502702</v>
      </c>
      <c r="AA176" s="206">
        <f>'Output - Jobs vs Yr (BAU)'!AA55+'Output - Jobs vs Yr (BAU)'!AA73</f>
        <v>19120.665182882352</v>
      </c>
      <c r="AB176" s="206">
        <f>'Output - Jobs vs Yr (BAU)'!AB55+'Output - Jobs vs Yr (BAU)'!AB73</f>
        <v>19137.932817565892</v>
      </c>
      <c r="AC176" s="206">
        <f>'Output - Jobs vs Yr (BAU)'!AC55+'Output - Jobs vs Yr (BAU)'!AC73</f>
        <v>19147.755733017439</v>
      </c>
      <c r="AD176" s="206">
        <f>'Output - Jobs vs Yr (BAU)'!AD55+'Output - Jobs vs Yr (BAU)'!AD73</f>
        <v>19152.890673657988</v>
      </c>
      <c r="AE176" s="206">
        <f>'Output - Jobs vs Yr (BAU)'!AE55+'Output - Jobs vs Yr (BAU)'!AE73</f>
        <v>19149.624775166762</v>
      </c>
      <c r="AF176" s="206">
        <f>'Output - Jobs vs Yr (BAU)'!AF55+'Output - Jobs vs Yr (BAU)'!AF73</f>
        <v>19143.84575477309</v>
      </c>
      <c r="AG176" s="206">
        <f>'Output - Jobs vs Yr (BAU)'!AG55+'Output - Jobs vs Yr (BAU)'!AG73</f>
        <v>19146.717890809403</v>
      </c>
      <c r="AH176" s="182">
        <f>'Output - Jobs vs Yr (BAU)'!AH55+'Output - Jobs vs Yr (BAU)'!AH73</f>
        <v>19154.968631627227</v>
      </c>
      <c r="AI176" s="1"/>
    </row>
    <row r="177" spans="1:35">
      <c r="A177" s="76" t="s">
        <v>300</v>
      </c>
      <c r="C177" s="334">
        <f>'Output - Jobs vs Yr (BAU)'!C55</f>
        <v>7874.0411999999997</v>
      </c>
      <c r="D177" s="334">
        <f>'Output - Jobs vs Yr (BAU)'!D55</f>
        <v>8976.3612000000012</v>
      </c>
      <c r="E177" s="334">
        <f>'Output - Jobs vs Yr (BAU)'!E55</f>
        <v>9779.8526143525451</v>
      </c>
      <c r="F177" s="334">
        <f>'Output - Jobs vs Yr (BAU)'!F55</f>
        <v>8463.5294449344983</v>
      </c>
      <c r="G177" s="334">
        <f>'Output - Jobs vs Yr (BAU)'!G55</f>
        <v>9751.529096564338</v>
      </c>
      <c r="H177" s="404">
        <f>'Output - Jobs vs Yr (BAU)'!H55</f>
        <v>9767.8575689950176</v>
      </c>
      <c r="I177" s="19">
        <f>'Output - Jobs vs Yr (BAU)'!I55</f>
        <v>9605.6075853477705</v>
      </c>
      <c r="J177" s="19">
        <f>'Output - Jobs vs Yr (BAU)'!J55</f>
        <v>9547.0507182559413</v>
      </c>
      <c r="K177" s="19">
        <f>'Output - Jobs vs Yr (BAU)'!K55</f>
        <v>9723.8835233304926</v>
      </c>
      <c r="L177" s="19">
        <f>'Output - Jobs vs Yr (BAU)'!L55</f>
        <v>9827.6402617596195</v>
      </c>
      <c r="M177" s="19">
        <f>'Output - Jobs vs Yr (BAU)'!M55</f>
        <v>9904.4208907764387</v>
      </c>
      <c r="N177" s="182">
        <f>'Output - Jobs vs Yr (BAU)'!N55</f>
        <v>9942.5985111612026</v>
      </c>
      <c r="O177" s="19">
        <f>'Output - Jobs vs Yr (BAU)'!O55</f>
        <v>10009.489430528625</v>
      </c>
      <c r="P177" s="19">
        <f>'Output - Jobs vs Yr (BAU)'!P55</f>
        <v>10040.621928959947</v>
      </c>
      <c r="Q177" s="19">
        <f>'Output - Jobs vs Yr (BAU)'!Q55</f>
        <v>10055.401835947303</v>
      </c>
      <c r="R177" s="19">
        <f>'Output - Jobs vs Yr (BAU)'!R55</f>
        <v>10093.862216252108</v>
      </c>
      <c r="S177" s="19">
        <f>'Output - Jobs vs Yr (BAU)'!S55</f>
        <v>10113.11239342358</v>
      </c>
      <c r="T177" s="19">
        <f>'Output - Jobs vs Yr (BAU)'!T55</f>
        <v>10115.648463939695</v>
      </c>
      <c r="U177" s="19">
        <f>'Output - Jobs vs Yr (BAU)'!U55</f>
        <v>10123.966249667157</v>
      </c>
      <c r="V177" s="19">
        <f>'Output - Jobs vs Yr (BAU)'!V55</f>
        <v>10125.195271056125</v>
      </c>
      <c r="W177" s="19">
        <f>'Output - Jobs vs Yr (BAU)'!W55</f>
        <v>10124.508714121634</v>
      </c>
      <c r="X177" s="182">
        <f>'Output - Jobs vs Yr (BAU)'!X55</f>
        <v>10086.572300000418</v>
      </c>
      <c r="Y177" s="206">
        <f>'Output - Jobs vs Yr (BAU)'!Y55</f>
        <v>10069.115905503528</v>
      </c>
      <c r="Z177" s="206">
        <f>'Output - Jobs vs Yr (BAU)'!Z55</f>
        <v>10064.170718685633</v>
      </c>
      <c r="AA177" s="206">
        <f>'Output - Jobs vs Yr (BAU)'!AA55</f>
        <v>10063.507990990713</v>
      </c>
      <c r="AB177" s="206">
        <f>'Output - Jobs vs Yr (BAU)'!AB55</f>
        <v>10072.596219771522</v>
      </c>
      <c r="AC177" s="206">
        <f>'Output - Jobs vs Yr (BAU)'!AC55</f>
        <v>10077.766175272336</v>
      </c>
      <c r="AD177" s="206">
        <f>'Output - Jobs vs Yr (BAU)'!AD55</f>
        <v>10080.468775609468</v>
      </c>
      <c r="AE177" s="206">
        <f>'Output - Jobs vs Yr (BAU)'!AE55</f>
        <v>10078.749881666716</v>
      </c>
      <c r="AF177" s="206">
        <f>'Output - Jobs vs Yr (BAU)'!AF55</f>
        <v>10075.708291985837</v>
      </c>
      <c r="AG177" s="206">
        <f>'Output - Jobs vs Yr (BAU)'!AG55</f>
        <v>10077.219942531265</v>
      </c>
      <c r="AH177" s="182">
        <f>'Output - Jobs vs Yr (BAU)'!AH55</f>
        <v>10081.56243769854</v>
      </c>
      <c r="AI177" s="1"/>
    </row>
    <row r="178" spans="1:35">
      <c r="A178" s="76" t="s">
        <v>301</v>
      </c>
      <c r="C178" s="334">
        <f>'Output - Jobs vs Yr (BAU)'!C73</f>
        <v>7086.6370800000004</v>
      </c>
      <c r="D178" s="334">
        <f>'Output - Jobs vs Yr (BAU)'!D73</f>
        <v>8078.7250800000011</v>
      </c>
      <c r="E178" s="334">
        <f>'Output - Jobs vs Yr (BAU)'!E73</f>
        <v>8801.867352917292</v>
      </c>
      <c r="F178" s="334">
        <f>'Output - Jobs vs Yr (BAU)'!F73</f>
        <v>7617.176500441049</v>
      </c>
      <c r="G178" s="334">
        <f>'Output - Jobs vs Yr (BAU)'!G73</f>
        <v>8776.3761869079026</v>
      </c>
      <c r="H178" s="404">
        <f>'Output - Jobs vs Yr (BAU)'!H73</f>
        <v>8791.0718120955171</v>
      </c>
      <c r="I178" s="19">
        <f>'Output - Jobs vs Yr (BAU)'!I73</f>
        <v>8645.0468268129935</v>
      </c>
      <c r="J178" s="19">
        <f>'Output - Jobs vs Yr (BAU)'!J73</f>
        <v>8592.3456464303472</v>
      </c>
      <c r="K178" s="19">
        <f>'Output - Jobs vs Yr (BAU)'!K73</f>
        <v>8751.4951709974448</v>
      </c>
      <c r="L178" s="19">
        <f>'Output - Jobs vs Yr (BAU)'!L73</f>
        <v>8844.876235583657</v>
      </c>
      <c r="M178" s="19">
        <f>'Output - Jobs vs Yr (BAU)'!M73</f>
        <v>8913.978801698795</v>
      </c>
      <c r="N178" s="182">
        <f>'Output - Jobs vs Yr (BAU)'!N73</f>
        <v>8948.3386600450813</v>
      </c>
      <c r="O178" s="19">
        <f>'Output - Jobs vs Yr (BAU)'!O73</f>
        <v>9008.5404874757623</v>
      </c>
      <c r="P178" s="19">
        <f>'Output - Jobs vs Yr (BAU)'!P73</f>
        <v>9036.5597360639513</v>
      </c>
      <c r="Q178" s="19">
        <f>'Output - Jobs vs Yr (BAU)'!Q73</f>
        <v>9049.8616523525725</v>
      </c>
      <c r="R178" s="19">
        <f>'Output - Jobs vs Yr (BAU)'!R73</f>
        <v>9084.4759946268987</v>
      </c>
      <c r="S178" s="19">
        <f>'Output - Jobs vs Yr (BAU)'!S73</f>
        <v>9101.8011540812222</v>
      </c>
      <c r="T178" s="19">
        <f>'Output - Jobs vs Yr (BAU)'!T73</f>
        <v>9104.0836175457243</v>
      </c>
      <c r="U178" s="19">
        <f>'Output - Jobs vs Yr (BAU)'!U73</f>
        <v>9111.5696247004416</v>
      </c>
      <c r="V178" s="19">
        <f>'Output - Jobs vs Yr (BAU)'!V73</f>
        <v>9112.6757439505145</v>
      </c>
      <c r="W178" s="19">
        <f>'Output - Jobs vs Yr (BAU)'!W73</f>
        <v>9112.0578427094697</v>
      </c>
      <c r="X178" s="182">
        <f>'Output - Jobs vs Yr (BAU)'!X73</f>
        <v>9077.9150700003756</v>
      </c>
      <c r="Y178" s="206">
        <f>'Output - Jobs vs Yr (BAU)'!Y73</f>
        <v>9062.2043149531746</v>
      </c>
      <c r="Z178" s="206">
        <f>'Output - Jobs vs Yr (BAU)'!Z73</f>
        <v>9057.7536468170692</v>
      </c>
      <c r="AA178" s="206">
        <f>'Output - Jobs vs Yr (BAU)'!AA73</f>
        <v>9057.1571918916416</v>
      </c>
      <c r="AB178" s="206">
        <f>'Output - Jobs vs Yr (BAU)'!AB73</f>
        <v>9065.3365977943704</v>
      </c>
      <c r="AC178" s="206">
        <f>'Output - Jobs vs Yr (BAU)'!AC73</f>
        <v>9069.9895577451007</v>
      </c>
      <c r="AD178" s="206">
        <f>'Output - Jobs vs Yr (BAU)'!AD73</f>
        <v>9072.4218980485202</v>
      </c>
      <c r="AE178" s="206">
        <f>'Output - Jobs vs Yr (BAU)'!AE73</f>
        <v>9070.874893500044</v>
      </c>
      <c r="AF178" s="206">
        <f>'Output - Jobs vs Yr (BAU)'!AF73</f>
        <v>9068.1374627872538</v>
      </c>
      <c r="AG178" s="206">
        <f>'Output - Jobs vs Yr (BAU)'!AG73</f>
        <v>9069.4979482781382</v>
      </c>
      <c r="AH178" s="182">
        <f>'Output - Jobs vs Yr (BAU)'!AH73</f>
        <v>9073.4061939286876</v>
      </c>
      <c r="AI178" s="80" t="s">
        <v>0</v>
      </c>
    </row>
    <row r="179" spans="1:35">
      <c r="A179" s="75" t="s">
        <v>298</v>
      </c>
      <c r="C179" s="331">
        <f>SUM(C118,C145)</f>
        <v>14960.469009999999</v>
      </c>
      <c r="D179" s="331">
        <f t="shared" ref="D179:AH179" si="99">SUM(D118,D145)+D249+D252</f>
        <v>17113.164362101954</v>
      </c>
      <c r="E179" s="331">
        <f t="shared" si="99"/>
        <v>18587.750346671764</v>
      </c>
      <c r="F179" s="331">
        <f t="shared" si="99"/>
        <v>16101.583201704874</v>
      </c>
      <c r="G179" s="331">
        <f t="shared" si="99"/>
        <v>18540.450374171858</v>
      </c>
      <c r="H179" s="402">
        <f>SUM(H118,H145)+H249+H252</f>
        <v>18558.713841090532</v>
      </c>
      <c r="I179" s="14">
        <f t="shared" si="99"/>
        <v>18354.089266243267</v>
      </c>
      <c r="J179" s="14">
        <f t="shared" si="99"/>
        <v>18391.983908599061</v>
      </c>
      <c r="K179" s="14">
        <f t="shared" si="99"/>
        <v>18931.38576782016</v>
      </c>
      <c r="L179" s="14">
        <f t="shared" si="99"/>
        <v>19401.545985533488</v>
      </c>
      <c r="M179" s="14">
        <f t="shared" si="99"/>
        <v>19888.83586316758</v>
      </c>
      <c r="N179" s="187">
        <f t="shared" si="99"/>
        <v>20384.710354047762</v>
      </c>
      <c r="O179" s="14">
        <f t="shared" si="99"/>
        <v>20570.280163371339</v>
      </c>
      <c r="P179" s="14">
        <f t="shared" si="99"/>
        <v>20683.770166956987</v>
      </c>
      <c r="Q179" s="14">
        <f t="shared" si="99"/>
        <v>20753.879448682143</v>
      </c>
      <c r="R179" s="14">
        <f t="shared" si="99"/>
        <v>20885.451718809563</v>
      </c>
      <c r="S179" s="14">
        <f t="shared" si="99"/>
        <v>20976.959995803496</v>
      </c>
      <c r="T179" s="14">
        <f t="shared" si="99"/>
        <v>21033.464846297771</v>
      </c>
      <c r="U179" s="14">
        <f t="shared" si="99"/>
        <v>21103.585677997704</v>
      </c>
      <c r="V179" s="14">
        <f t="shared" si="99"/>
        <v>21158.03369787641</v>
      </c>
      <c r="W179" s="14">
        <f t="shared" si="99"/>
        <v>21211.063319682493</v>
      </c>
      <c r="X179" s="187">
        <f t="shared" si="99"/>
        <v>21182.868530627107</v>
      </c>
      <c r="Y179" s="158">
        <f t="shared" si="99"/>
        <v>21161.346263494728</v>
      </c>
      <c r="Z179" s="158">
        <f t="shared" si="99"/>
        <v>21167.662301371591</v>
      </c>
      <c r="AA179" s="158">
        <f t="shared" si="99"/>
        <v>21185.380372184234</v>
      </c>
      <c r="AB179" s="158">
        <f t="shared" si="99"/>
        <v>21219.962653128794</v>
      </c>
      <c r="AC179" s="158">
        <f t="shared" si="99"/>
        <v>21247.356376083892</v>
      </c>
      <c r="AD179" s="158">
        <f t="shared" si="99"/>
        <v>21272.074467030037</v>
      </c>
      <c r="AE179" s="158">
        <f t="shared" si="99"/>
        <v>21286.342151850011</v>
      </c>
      <c r="AF179" s="158">
        <f t="shared" si="99"/>
        <v>21298.672272147309</v>
      </c>
      <c r="AG179" s="158">
        <f t="shared" si="99"/>
        <v>21318.577237008896</v>
      </c>
      <c r="AH179" s="187">
        <f t="shared" si="99"/>
        <v>21342.833936718671</v>
      </c>
    </row>
    <row r="180" spans="1:35">
      <c r="A180" s="76" t="s">
        <v>302</v>
      </c>
      <c r="C180" s="331">
        <f>C118</f>
        <v>7873.9311999999991</v>
      </c>
      <c r="D180" s="331">
        <f t="shared" ref="D180:AH180" si="100">D118+D250+D253</f>
        <v>9006.9288157393639</v>
      </c>
      <c r="E180" s="331">
        <f t="shared" si="100"/>
        <v>9783.0267737705599</v>
      </c>
      <c r="F180" s="331">
        <f t="shared" si="100"/>
        <v>8474.5177726275087</v>
      </c>
      <c r="G180" s="331">
        <f t="shared" si="100"/>
        <v>9758.1322073403371</v>
      </c>
      <c r="H180" s="402">
        <f t="shared" si="100"/>
        <v>9767.7442689950167</v>
      </c>
      <c r="I180" s="14">
        <f t="shared" si="100"/>
        <v>9660.0471578364886</v>
      </c>
      <c r="J180" s="14">
        <f t="shared" si="100"/>
        <v>9679.9917503283268</v>
      </c>
      <c r="K180" s="14">
        <f t="shared" si="100"/>
        <v>9963.8875274335714</v>
      </c>
      <c r="L180" s="14">
        <f t="shared" si="100"/>
        <v>10211.340350174776</v>
      </c>
      <c r="M180" s="14">
        <f t="shared" si="100"/>
        <v>10467.808802914449</v>
      </c>
      <c r="N180" s="187">
        <f t="shared" si="100"/>
        <v>10728.795496601393</v>
      </c>
      <c r="O180" s="14">
        <f t="shared" si="100"/>
        <v>10826.463834253165</v>
      </c>
      <c r="P180" s="14">
        <f t="shared" si="100"/>
        <v>10886.19543035758</v>
      </c>
      <c r="Q180" s="14">
        <f t="shared" si="100"/>
        <v>10923.095066639313</v>
      </c>
      <c r="R180" s="14">
        <f t="shared" si="100"/>
        <v>10992.343646354366</v>
      </c>
      <c r="S180" s="14">
        <f t="shared" si="100"/>
        <v>11040.505913033194</v>
      </c>
      <c r="T180" s="14">
        <f t="shared" si="100"/>
        <v>11070.24532288925</v>
      </c>
      <c r="U180" s="14">
        <f t="shared" si="100"/>
        <v>11107.151039384702</v>
      </c>
      <c r="V180" s="14">
        <f t="shared" si="100"/>
        <v>11135.80790735972</v>
      </c>
      <c r="W180" s="14">
        <f t="shared" si="100"/>
        <v>11163.718250294723</v>
      </c>
      <c r="X180" s="187">
        <f t="shared" si="100"/>
        <v>11148.878900831804</v>
      </c>
      <c r="Y180" s="158">
        <f t="shared" si="100"/>
        <v>11137.551395975526</v>
      </c>
      <c r="Z180" s="158">
        <f t="shared" si="100"/>
        <v>11140.875631585475</v>
      </c>
      <c r="AA180" s="158">
        <f t="shared" si="100"/>
        <v>11150.200937594067</v>
      </c>
      <c r="AB180" s="158">
        <f t="shared" si="100"/>
        <v>11168.402144303853</v>
      </c>
      <c r="AC180" s="158">
        <f t="shared" si="100"/>
        <v>11182.81989922928</v>
      </c>
      <c r="AD180" s="158">
        <f t="shared" si="100"/>
        <v>11195.829426728291</v>
      </c>
      <c r="AE180" s="158">
        <f t="shared" si="100"/>
        <v>11203.338740142604</v>
      </c>
      <c r="AF180" s="158">
        <f t="shared" si="100"/>
        <v>11209.828282721428</v>
      </c>
      <c r="AG180" s="158">
        <f t="shared" si="100"/>
        <v>11220.304585909453</v>
      </c>
      <c r="AH180" s="187">
        <f t="shared" si="100"/>
        <v>11233.071276057335</v>
      </c>
    </row>
    <row r="181" spans="1:35">
      <c r="A181" s="76" t="s">
        <v>303</v>
      </c>
      <c r="C181" s="331">
        <f>C145</f>
        <v>7086.5378099999998</v>
      </c>
      <c r="D181" s="331">
        <f t="shared" ref="D181:AH181" si="101">D145+D251+D254</f>
        <v>8106.2355463625918</v>
      </c>
      <c r="E181" s="331">
        <f t="shared" si="101"/>
        <v>8804.7235729012045</v>
      </c>
      <c r="F181" s="331">
        <f t="shared" si="101"/>
        <v>7627.0654290773655</v>
      </c>
      <c r="G181" s="331">
        <f t="shared" si="101"/>
        <v>8782.3181668315228</v>
      </c>
      <c r="H181" s="402">
        <f>H145+H251+H254</f>
        <v>8790.9695720955133</v>
      </c>
      <c r="I181" s="14">
        <f t="shared" si="101"/>
        <v>8694.0421084067784</v>
      </c>
      <c r="J181" s="14">
        <f t="shared" si="101"/>
        <v>8711.9921582707339</v>
      </c>
      <c r="K181" s="14">
        <f t="shared" si="101"/>
        <v>8967.498240386587</v>
      </c>
      <c r="L181" s="14">
        <f t="shared" si="101"/>
        <v>9190.2056353587122</v>
      </c>
      <c r="M181" s="14">
        <f t="shared" si="101"/>
        <v>9421.0270602531327</v>
      </c>
      <c r="N181" s="187">
        <f t="shared" si="101"/>
        <v>9655.9148574463707</v>
      </c>
      <c r="O181" s="14">
        <f t="shared" si="101"/>
        <v>9743.8163291181754</v>
      </c>
      <c r="P181" s="14">
        <f t="shared" si="101"/>
        <v>9797.5747365994066</v>
      </c>
      <c r="Q181" s="14">
        <f t="shared" si="101"/>
        <v>9830.7843820428297</v>
      </c>
      <c r="R181" s="14">
        <f t="shared" si="101"/>
        <v>9893.1080724551975</v>
      </c>
      <c r="S181" s="14">
        <f t="shared" si="101"/>
        <v>9936.4540827703004</v>
      </c>
      <c r="T181" s="14">
        <f t="shared" si="101"/>
        <v>9963.2195234085193</v>
      </c>
      <c r="U181" s="14">
        <f t="shared" si="101"/>
        <v>9996.4346386130037</v>
      </c>
      <c r="V181" s="14">
        <f t="shared" si="101"/>
        <v>10022.225790516692</v>
      </c>
      <c r="W181" s="14">
        <f t="shared" si="101"/>
        <v>10047.345069387768</v>
      </c>
      <c r="X181" s="187">
        <f t="shared" si="101"/>
        <v>10033.989629795306</v>
      </c>
      <c r="Y181" s="158">
        <f t="shared" si="101"/>
        <v>10023.794867519204</v>
      </c>
      <c r="Z181" s="158">
        <f t="shared" si="101"/>
        <v>10026.786669786115</v>
      </c>
      <c r="AA181" s="158">
        <f t="shared" si="101"/>
        <v>10035.179434590169</v>
      </c>
      <c r="AB181" s="158">
        <f t="shared" si="101"/>
        <v>10051.560508824939</v>
      </c>
      <c r="AC181" s="158">
        <f t="shared" si="101"/>
        <v>10064.536476854611</v>
      </c>
      <c r="AD181" s="158">
        <f t="shared" si="101"/>
        <v>10076.245040301746</v>
      </c>
      <c r="AE181" s="158">
        <f t="shared" si="101"/>
        <v>10083.003411707408</v>
      </c>
      <c r="AF181" s="158">
        <f t="shared" si="101"/>
        <v>10088.843989425881</v>
      </c>
      <c r="AG181" s="158">
        <f t="shared" si="101"/>
        <v>10098.272651099442</v>
      </c>
      <c r="AH181" s="187">
        <f t="shared" si="101"/>
        <v>10109.762660661338</v>
      </c>
      <c r="AI181" s="31" t="s">
        <v>0</v>
      </c>
    </row>
    <row r="182" spans="1:35" s="1" customFormat="1">
      <c r="A182" s="75" t="s">
        <v>304</v>
      </c>
      <c r="B182" s="13"/>
      <c r="C182" s="341" t="s">
        <v>0</v>
      </c>
      <c r="D182" s="341">
        <f t="shared" ref="D182:AH182" si="102">D179-D176</f>
        <v>58.078082101950713</v>
      </c>
      <c r="E182" s="341">
        <f t="shared" si="102"/>
        <v>6.0303794019273482</v>
      </c>
      <c r="F182" s="341">
        <f t="shared" si="102"/>
        <v>20.877256329327793</v>
      </c>
      <c r="G182" s="341">
        <f t="shared" si="102"/>
        <v>12.545090699619323</v>
      </c>
      <c r="H182" s="405">
        <f>H179-H176</f>
        <v>-0.21554000000469387</v>
      </c>
      <c r="I182" s="15">
        <f t="shared" si="102"/>
        <v>103.43485408250126</v>
      </c>
      <c r="J182" s="15">
        <f t="shared" si="102"/>
        <v>252.58754391277034</v>
      </c>
      <c r="K182" s="15">
        <f t="shared" si="102"/>
        <v>456.00707349222284</v>
      </c>
      <c r="L182" s="15">
        <f t="shared" si="102"/>
        <v>729.02948819021185</v>
      </c>
      <c r="M182" s="15">
        <f t="shared" si="102"/>
        <v>1070.4361706923446</v>
      </c>
      <c r="N182" s="190">
        <f t="shared" si="102"/>
        <v>1493.7731828414762</v>
      </c>
      <c r="O182" s="15">
        <f t="shared" si="102"/>
        <v>1552.2502453669513</v>
      </c>
      <c r="P182" s="15">
        <f t="shared" si="102"/>
        <v>1606.588501933089</v>
      </c>
      <c r="Q182" s="15">
        <f t="shared" si="102"/>
        <v>1648.6159603822671</v>
      </c>
      <c r="R182" s="15">
        <f t="shared" si="102"/>
        <v>1707.1135079305568</v>
      </c>
      <c r="S182" s="15">
        <f t="shared" si="102"/>
        <v>1762.0464482986936</v>
      </c>
      <c r="T182" s="15">
        <f t="shared" si="102"/>
        <v>1813.7327648123537</v>
      </c>
      <c r="U182" s="15">
        <f t="shared" si="102"/>
        <v>1868.0498036301069</v>
      </c>
      <c r="V182" s="15">
        <f t="shared" si="102"/>
        <v>1920.1626828697699</v>
      </c>
      <c r="W182" s="15">
        <f t="shared" si="102"/>
        <v>1974.4967628513914</v>
      </c>
      <c r="X182" s="190">
        <f t="shared" si="102"/>
        <v>2018.3811606263116</v>
      </c>
      <c r="Y182" s="130">
        <f t="shared" si="102"/>
        <v>2030.0260430380258</v>
      </c>
      <c r="Z182" s="130">
        <f t="shared" si="102"/>
        <v>2045.7379358688886</v>
      </c>
      <c r="AA182" s="130">
        <f t="shared" si="102"/>
        <v>2064.7151893018818</v>
      </c>
      <c r="AB182" s="130">
        <f t="shared" si="102"/>
        <v>2082.029835562902</v>
      </c>
      <c r="AC182" s="130">
        <f t="shared" si="102"/>
        <v>2099.6006430664529</v>
      </c>
      <c r="AD182" s="130">
        <f t="shared" si="102"/>
        <v>2119.183793372049</v>
      </c>
      <c r="AE182" s="130">
        <f t="shared" si="102"/>
        <v>2136.7173766832493</v>
      </c>
      <c r="AF182" s="130">
        <f t="shared" si="102"/>
        <v>2154.8265173742184</v>
      </c>
      <c r="AG182" s="130">
        <f t="shared" si="102"/>
        <v>2171.8593461994933</v>
      </c>
      <c r="AH182" s="190">
        <f t="shared" si="102"/>
        <v>2187.8653050914436</v>
      </c>
    </row>
    <row r="183" spans="1:35" s="20" customFormat="1">
      <c r="A183" s="20" t="s">
        <v>305</v>
      </c>
      <c r="B183" s="33"/>
      <c r="C183" s="334" t="s">
        <v>0</v>
      </c>
      <c r="D183" s="334">
        <f t="shared" ref="D183:AH183" si="103">D180-D177</f>
        <v>30.567615739362736</v>
      </c>
      <c r="E183" s="334">
        <f t="shared" si="103"/>
        <v>3.174159418014824</v>
      </c>
      <c r="F183" s="334">
        <f t="shared" si="103"/>
        <v>10.988327693010433</v>
      </c>
      <c r="G183" s="334">
        <f t="shared" si="103"/>
        <v>6.6031107759990846</v>
      </c>
      <c r="H183" s="404">
        <f>H180-H177</f>
        <v>-0.11330000000089058</v>
      </c>
      <c r="I183" s="19">
        <f t="shared" si="103"/>
        <v>54.439572488718113</v>
      </c>
      <c r="J183" s="19">
        <f t="shared" si="103"/>
        <v>132.9410320723855</v>
      </c>
      <c r="K183" s="19">
        <f t="shared" si="103"/>
        <v>240.00400410307884</v>
      </c>
      <c r="L183" s="19">
        <f t="shared" si="103"/>
        <v>383.70008841515664</v>
      </c>
      <c r="M183" s="19">
        <f t="shared" si="103"/>
        <v>563.38791213801051</v>
      </c>
      <c r="N183" s="182">
        <f t="shared" si="103"/>
        <v>786.19698544019047</v>
      </c>
      <c r="O183" s="19">
        <f t="shared" si="103"/>
        <v>816.97440372454002</v>
      </c>
      <c r="P183" s="19">
        <f t="shared" si="103"/>
        <v>845.57350139763366</v>
      </c>
      <c r="Q183" s="19">
        <f t="shared" si="103"/>
        <v>867.69323069200982</v>
      </c>
      <c r="R183" s="19">
        <f t="shared" si="103"/>
        <v>898.48143010225795</v>
      </c>
      <c r="S183" s="19">
        <f t="shared" si="103"/>
        <v>927.39351960961358</v>
      </c>
      <c r="T183" s="19">
        <f t="shared" si="103"/>
        <v>954.5968589495551</v>
      </c>
      <c r="U183" s="19">
        <f t="shared" si="103"/>
        <v>983.18478971754485</v>
      </c>
      <c r="V183" s="19">
        <f t="shared" si="103"/>
        <v>1010.6126363035946</v>
      </c>
      <c r="W183" s="19">
        <f t="shared" si="103"/>
        <v>1039.2095361730899</v>
      </c>
      <c r="X183" s="182">
        <f t="shared" si="103"/>
        <v>1062.3066008313854</v>
      </c>
      <c r="Y183" s="206">
        <f t="shared" si="103"/>
        <v>1068.4354904719985</v>
      </c>
      <c r="Z183" s="206">
        <f t="shared" si="103"/>
        <v>1076.7049128998424</v>
      </c>
      <c r="AA183" s="206">
        <f t="shared" si="103"/>
        <v>1086.6929466033544</v>
      </c>
      <c r="AB183" s="206">
        <f t="shared" si="103"/>
        <v>1095.8059245323311</v>
      </c>
      <c r="AC183" s="206">
        <f t="shared" si="103"/>
        <v>1105.0537239569439</v>
      </c>
      <c r="AD183" s="206">
        <f t="shared" si="103"/>
        <v>1115.3606511188227</v>
      </c>
      <c r="AE183" s="206">
        <f t="shared" si="103"/>
        <v>1124.5888584758886</v>
      </c>
      <c r="AF183" s="206">
        <f t="shared" si="103"/>
        <v>1134.1199907355913</v>
      </c>
      <c r="AG183" s="206">
        <f t="shared" si="103"/>
        <v>1143.084643378188</v>
      </c>
      <c r="AH183" s="182">
        <f t="shared" si="103"/>
        <v>1151.5088383587954</v>
      </c>
    </row>
    <row r="184" spans="1:35" s="20" customFormat="1">
      <c r="A184" s="20" t="s">
        <v>306</v>
      </c>
      <c r="B184" s="33"/>
      <c r="C184" s="334" t="s">
        <v>0</v>
      </c>
      <c r="D184" s="334">
        <f t="shared" ref="D184:AH184" si="104">D181-D178</f>
        <v>27.510466362590705</v>
      </c>
      <c r="E184" s="334">
        <f t="shared" si="104"/>
        <v>2.8562199839125242</v>
      </c>
      <c r="F184" s="334">
        <f t="shared" si="104"/>
        <v>9.8889286363164501</v>
      </c>
      <c r="G184" s="334">
        <f t="shared" si="104"/>
        <v>5.941979923620238</v>
      </c>
      <c r="H184" s="404">
        <f t="shared" si="104"/>
        <v>-0.10224000000380329</v>
      </c>
      <c r="I184" s="19">
        <f t="shared" si="104"/>
        <v>48.995281593784966</v>
      </c>
      <c r="J184" s="19">
        <f t="shared" si="104"/>
        <v>119.64651184038667</v>
      </c>
      <c r="K184" s="19">
        <f t="shared" si="104"/>
        <v>216.00306938914218</v>
      </c>
      <c r="L184" s="19">
        <f t="shared" si="104"/>
        <v>345.32939977505521</v>
      </c>
      <c r="M184" s="19">
        <f t="shared" si="104"/>
        <v>507.04825855433774</v>
      </c>
      <c r="N184" s="182">
        <f t="shared" si="104"/>
        <v>707.57619740128939</v>
      </c>
      <c r="O184" s="19">
        <f t="shared" si="104"/>
        <v>735.27584164241307</v>
      </c>
      <c r="P184" s="19">
        <f t="shared" si="104"/>
        <v>761.01500053545533</v>
      </c>
      <c r="Q184" s="19">
        <f t="shared" si="104"/>
        <v>780.92272969025726</v>
      </c>
      <c r="R184" s="19">
        <f t="shared" si="104"/>
        <v>808.63207782829886</v>
      </c>
      <c r="S184" s="19">
        <f t="shared" si="104"/>
        <v>834.65292868907818</v>
      </c>
      <c r="T184" s="19">
        <f t="shared" si="104"/>
        <v>859.13590586279497</v>
      </c>
      <c r="U184" s="19">
        <f t="shared" si="104"/>
        <v>884.86501391256206</v>
      </c>
      <c r="V184" s="19">
        <f t="shared" si="104"/>
        <v>909.55004656617712</v>
      </c>
      <c r="W184" s="19">
        <f t="shared" si="104"/>
        <v>935.28722667829788</v>
      </c>
      <c r="X184" s="182">
        <f t="shared" si="104"/>
        <v>956.07455979492988</v>
      </c>
      <c r="Y184" s="206">
        <f t="shared" si="104"/>
        <v>961.59055256602915</v>
      </c>
      <c r="Z184" s="206">
        <f t="shared" si="104"/>
        <v>969.03302296904621</v>
      </c>
      <c r="AA184" s="206">
        <f t="shared" si="104"/>
        <v>978.02224269852741</v>
      </c>
      <c r="AB184" s="206">
        <f t="shared" si="104"/>
        <v>986.22391103056907</v>
      </c>
      <c r="AC184" s="206">
        <f t="shared" si="104"/>
        <v>994.54691910951078</v>
      </c>
      <c r="AD184" s="206">
        <f t="shared" si="104"/>
        <v>1003.8231422532263</v>
      </c>
      <c r="AE184" s="206">
        <f t="shared" si="104"/>
        <v>1012.1285182073643</v>
      </c>
      <c r="AF184" s="206">
        <f t="shared" si="104"/>
        <v>1020.7065266386271</v>
      </c>
      <c r="AG184" s="206">
        <f t="shared" si="104"/>
        <v>1028.7747028213034</v>
      </c>
      <c r="AH184" s="182">
        <f t="shared" si="104"/>
        <v>1036.35646673265</v>
      </c>
    </row>
    <row r="185" spans="1:35" s="1" customFormat="1">
      <c r="A185" s="1" t="s">
        <v>450</v>
      </c>
      <c r="B185" s="13"/>
      <c r="C185" s="341"/>
      <c r="D185" s="341">
        <f>D182</f>
        <v>58.078082101950713</v>
      </c>
      <c r="E185" s="341">
        <f>D185+E182</f>
        <v>64.108461503878061</v>
      </c>
      <c r="F185" s="341">
        <f t="shared" ref="E185:N187" si="105">E185+F182</f>
        <v>84.985717833205854</v>
      </c>
      <c r="G185" s="341">
        <f t="shared" si="105"/>
        <v>97.530808532825176</v>
      </c>
      <c r="H185" s="405">
        <f>H182</f>
        <v>-0.21554000000469387</v>
      </c>
      <c r="I185" s="15">
        <f t="shared" si="105"/>
        <v>103.21931408249657</v>
      </c>
      <c r="J185" s="15">
        <f t="shared" si="105"/>
        <v>355.80685799526691</v>
      </c>
      <c r="K185" s="15">
        <f t="shared" si="105"/>
        <v>811.81393148748975</v>
      </c>
      <c r="L185" s="15">
        <f t="shared" si="105"/>
        <v>1540.8434196777016</v>
      </c>
      <c r="M185" s="15">
        <f t="shared" si="105"/>
        <v>2611.2795903700462</v>
      </c>
      <c r="N185" s="15">
        <f t="shared" si="105"/>
        <v>4105.0527732115224</v>
      </c>
      <c r="O185" s="15">
        <f t="shared" ref="O185:X185" si="106">N185+O182</f>
        <v>5657.3030185784737</v>
      </c>
      <c r="P185" s="15">
        <f t="shared" si="106"/>
        <v>7263.8915205115627</v>
      </c>
      <c r="Q185" s="15">
        <f t="shared" si="106"/>
        <v>8912.5074808938298</v>
      </c>
      <c r="R185" s="15">
        <f t="shared" si="106"/>
        <v>10619.620988824387</v>
      </c>
      <c r="S185" s="130">
        <f t="shared" si="106"/>
        <v>12381.66743712308</v>
      </c>
      <c r="T185" s="15">
        <f t="shared" si="106"/>
        <v>14195.400201935434</v>
      </c>
      <c r="U185" s="15">
        <f t="shared" si="106"/>
        <v>16063.450005565541</v>
      </c>
      <c r="V185" s="15">
        <f t="shared" si="106"/>
        <v>17983.612688435311</v>
      </c>
      <c r="W185" s="15">
        <f t="shared" si="106"/>
        <v>19958.109451286702</v>
      </c>
      <c r="X185" s="190">
        <f t="shared" si="106"/>
        <v>21976.490611913014</v>
      </c>
      <c r="Y185" s="130">
        <f t="shared" ref="Y185:AH185" si="107">X185+Y182</f>
        <v>24006.51665495104</v>
      </c>
      <c r="Z185" s="130">
        <f t="shared" si="107"/>
        <v>26052.254590819928</v>
      </c>
      <c r="AA185" s="130">
        <f t="shared" si="107"/>
        <v>28116.96978012181</v>
      </c>
      <c r="AB185" s="130">
        <f t="shared" si="107"/>
        <v>30198.999615684712</v>
      </c>
      <c r="AC185" s="130">
        <f t="shared" si="107"/>
        <v>32298.600258751165</v>
      </c>
      <c r="AD185" s="130">
        <f t="shared" si="107"/>
        <v>34417.784052123214</v>
      </c>
      <c r="AE185" s="130">
        <f t="shared" si="107"/>
        <v>36554.501428806463</v>
      </c>
      <c r="AF185" s="130">
        <f t="shared" si="107"/>
        <v>38709.327946180681</v>
      </c>
      <c r="AG185" s="130">
        <f t="shared" si="107"/>
        <v>40881.187292380171</v>
      </c>
      <c r="AH185" s="190">
        <f t="shared" si="107"/>
        <v>43069.052597471615</v>
      </c>
    </row>
    <row r="186" spans="1:35" s="20" customFormat="1">
      <c r="A186" s="20" t="s">
        <v>451</v>
      </c>
      <c r="B186" s="33"/>
      <c r="C186" s="334"/>
      <c r="D186" s="334">
        <f>D183</f>
        <v>30.567615739362736</v>
      </c>
      <c r="E186" s="334">
        <f t="shared" si="105"/>
        <v>33.74177515737756</v>
      </c>
      <c r="F186" s="334">
        <f t="shared" si="105"/>
        <v>44.730102850387993</v>
      </c>
      <c r="G186" s="334">
        <f t="shared" si="105"/>
        <v>51.333213626387078</v>
      </c>
      <c r="H186" s="404">
        <f t="shared" si="105"/>
        <v>51.219913626386187</v>
      </c>
      <c r="I186" s="19">
        <f t="shared" ref="I186:X186" si="108">H186+I183</f>
        <v>105.6594861151043</v>
      </c>
      <c r="J186" s="19">
        <f t="shared" si="108"/>
        <v>238.6005181874898</v>
      </c>
      <c r="K186" s="19">
        <f t="shared" si="108"/>
        <v>478.60452229056864</v>
      </c>
      <c r="L186" s="19">
        <f t="shared" si="108"/>
        <v>862.30461070572528</v>
      </c>
      <c r="M186" s="19">
        <f t="shared" si="108"/>
        <v>1425.6925228437358</v>
      </c>
      <c r="N186" s="182">
        <f t="shared" si="108"/>
        <v>2211.8895082839263</v>
      </c>
      <c r="O186" s="19">
        <f t="shared" si="108"/>
        <v>3028.8639120084663</v>
      </c>
      <c r="P186" s="19">
        <f t="shared" si="108"/>
        <v>3874.4374134060999</v>
      </c>
      <c r="Q186" s="19">
        <f t="shared" si="108"/>
        <v>4742.1306440981098</v>
      </c>
      <c r="R186" s="19">
        <f t="shared" si="108"/>
        <v>5640.6120742003677</v>
      </c>
      <c r="S186" s="206">
        <f t="shared" si="108"/>
        <v>6568.0055938099813</v>
      </c>
      <c r="T186" s="19">
        <f t="shared" si="108"/>
        <v>7522.6024527595364</v>
      </c>
      <c r="U186" s="19">
        <f t="shared" si="108"/>
        <v>8505.7872424770812</v>
      </c>
      <c r="V186" s="19">
        <f t="shared" si="108"/>
        <v>9516.3998787806759</v>
      </c>
      <c r="W186" s="19">
        <f t="shared" si="108"/>
        <v>10555.609414953766</v>
      </c>
      <c r="X186" s="182">
        <f t="shared" si="108"/>
        <v>11617.916015785151</v>
      </c>
      <c r="Y186" s="206">
        <f t="shared" ref="Y186:AH186" si="109">X186+Y183</f>
        <v>12686.35150625715</v>
      </c>
      <c r="Z186" s="206">
        <f t="shared" si="109"/>
        <v>13763.056419156992</v>
      </c>
      <c r="AA186" s="206">
        <f t="shared" si="109"/>
        <v>14849.749365760346</v>
      </c>
      <c r="AB186" s="206">
        <f t="shared" si="109"/>
        <v>15945.555290292677</v>
      </c>
      <c r="AC186" s="206">
        <f t="shared" si="109"/>
        <v>17050.609014249621</v>
      </c>
      <c r="AD186" s="206">
        <f t="shared" si="109"/>
        <v>18165.969665368444</v>
      </c>
      <c r="AE186" s="206">
        <f t="shared" si="109"/>
        <v>19290.558523844331</v>
      </c>
      <c r="AF186" s="206">
        <f t="shared" si="109"/>
        <v>20424.678514579922</v>
      </c>
      <c r="AG186" s="206">
        <f t="shared" si="109"/>
        <v>21567.76315795811</v>
      </c>
      <c r="AH186" s="182">
        <f t="shared" si="109"/>
        <v>22719.271996316907</v>
      </c>
    </row>
    <row r="187" spans="1:35" s="20" customFormat="1">
      <c r="A187" s="20" t="s">
        <v>452</v>
      </c>
      <c r="B187" s="33"/>
      <c r="C187" s="334"/>
      <c r="D187" s="334">
        <f>D184</f>
        <v>27.510466362590705</v>
      </c>
      <c r="E187" s="334">
        <f t="shared" si="105"/>
        <v>30.366686346503229</v>
      </c>
      <c r="F187" s="334">
        <f t="shared" si="105"/>
        <v>40.255614982819679</v>
      </c>
      <c r="G187" s="334">
        <f t="shared" si="105"/>
        <v>46.197594906439917</v>
      </c>
      <c r="H187" s="404">
        <f t="shared" si="105"/>
        <v>46.095354906436114</v>
      </c>
      <c r="I187" s="19">
        <f t="shared" ref="I187:X187" si="110">H187+I184</f>
        <v>95.09063650022108</v>
      </c>
      <c r="J187" s="19">
        <f t="shared" si="110"/>
        <v>214.73714834060775</v>
      </c>
      <c r="K187" s="19">
        <f t="shared" si="110"/>
        <v>430.74021772974993</v>
      </c>
      <c r="L187" s="19">
        <f t="shared" si="110"/>
        <v>776.06961750480514</v>
      </c>
      <c r="M187" s="19">
        <f t="shared" si="110"/>
        <v>1283.1178760591429</v>
      </c>
      <c r="N187" s="182">
        <f t="shared" si="110"/>
        <v>1990.6940734604323</v>
      </c>
      <c r="O187" s="19">
        <f t="shared" si="110"/>
        <v>2725.9699151028453</v>
      </c>
      <c r="P187" s="19">
        <f t="shared" si="110"/>
        <v>3486.9849156383007</v>
      </c>
      <c r="Q187" s="19">
        <f t="shared" si="110"/>
        <v>4267.9076453285579</v>
      </c>
      <c r="R187" s="19">
        <f t="shared" si="110"/>
        <v>5076.5397231568568</v>
      </c>
      <c r="S187" s="206">
        <f t="shared" si="110"/>
        <v>5911.192651845935</v>
      </c>
      <c r="T187" s="19">
        <f t="shared" si="110"/>
        <v>6770.3285577087299</v>
      </c>
      <c r="U187" s="19">
        <f t="shared" si="110"/>
        <v>7655.193571621292</v>
      </c>
      <c r="V187" s="19">
        <f t="shared" si="110"/>
        <v>8564.7436181874691</v>
      </c>
      <c r="W187" s="19">
        <f t="shared" si="110"/>
        <v>9500.030844865767</v>
      </c>
      <c r="X187" s="182">
        <f t="shared" si="110"/>
        <v>10456.105404660697</v>
      </c>
      <c r="Y187" s="206">
        <f t="shared" ref="Y187:AH187" si="111">X187+Y184</f>
        <v>11417.695957226726</v>
      </c>
      <c r="Z187" s="206">
        <f t="shared" si="111"/>
        <v>12386.728980195772</v>
      </c>
      <c r="AA187" s="206">
        <f t="shared" si="111"/>
        <v>13364.7512228943</v>
      </c>
      <c r="AB187" s="206">
        <f t="shared" si="111"/>
        <v>14350.975133924869</v>
      </c>
      <c r="AC187" s="206">
        <f t="shared" si="111"/>
        <v>15345.522053034379</v>
      </c>
      <c r="AD187" s="206">
        <f t="shared" si="111"/>
        <v>16349.345195287606</v>
      </c>
      <c r="AE187" s="206">
        <f t="shared" si="111"/>
        <v>17361.473713494968</v>
      </c>
      <c r="AF187" s="206">
        <f t="shared" si="111"/>
        <v>18382.180240133595</v>
      </c>
      <c r="AG187" s="206">
        <f t="shared" si="111"/>
        <v>19410.954942954901</v>
      </c>
      <c r="AH187" s="182">
        <f t="shared" si="111"/>
        <v>20447.311409687551</v>
      </c>
    </row>
    <row r="188" spans="1:35" s="519" customFormat="1">
      <c r="A188" s="519" t="s">
        <v>550</v>
      </c>
      <c r="B188" s="520"/>
      <c r="C188" s="521"/>
      <c r="D188"/>
      <c r="E188"/>
      <c r="F188"/>
      <c r="G188"/>
      <c r="H188"/>
      <c r="I188"/>
      <c r="J188"/>
      <c r="K188"/>
      <c r="L188"/>
      <c r="M188"/>
      <c r="N188"/>
      <c r="O188"/>
      <c r="P188"/>
      <c r="Q188"/>
      <c r="R188"/>
      <c r="S188"/>
      <c r="T188"/>
      <c r="U188"/>
      <c r="V188"/>
      <c r="W188"/>
      <c r="X188"/>
      <c r="Y188"/>
      <c r="Z188"/>
      <c r="AA188"/>
      <c r="AB188"/>
      <c r="AC188"/>
      <c r="AD188"/>
      <c r="AE188" s="523"/>
      <c r="AF188" s="523"/>
      <c r="AG188" s="523"/>
      <c r="AH188" s="522"/>
    </row>
    <row r="189" spans="1:35" s="1" customFormat="1">
      <c r="B189" s="13"/>
      <c r="C189" s="341"/>
      <c r="D189"/>
      <c r="E189"/>
      <c r="F189"/>
      <c r="G189"/>
      <c r="H189"/>
      <c r="I189"/>
      <c r="J189"/>
      <c r="K189"/>
      <c r="L189"/>
      <c r="M189"/>
      <c r="N189"/>
      <c r="O189"/>
      <c r="P189"/>
      <c r="Q189"/>
      <c r="R189"/>
      <c r="S189"/>
      <c r="T189"/>
      <c r="U189"/>
      <c r="V189"/>
      <c r="W189"/>
      <c r="X189"/>
      <c r="Y189"/>
      <c r="Z189"/>
      <c r="AA189"/>
      <c r="AB189"/>
      <c r="AC189"/>
      <c r="AD189"/>
      <c r="AE189"/>
      <c r="AF189"/>
      <c r="AG189"/>
      <c r="AH189" s="280"/>
    </row>
    <row r="190" spans="1:35" s="1" customFormat="1">
      <c r="A190" s="1" t="s">
        <v>412</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406</v>
      </c>
      <c r="I191" s="112"/>
      <c r="J191" s="112"/>
      <c r="K191" s="112"/>
      <c r="L191" s="112"/>
      <c r="M191" s="131"/>
      <c r="N191" s="192"/>
      <c r="O191" s="131"/>
      <c r="P191" s="112"/>
      <c r="Q191" s="112"/>
      <c r="R191" s="131"/>
      <c r="S191" s="131"/>
      <c r="T191" s="131"/>
      <c r="U191" s="131"/>
      <c r="V191" s="112"/>
      <c r="W191" s="112"/>
    </row>
    <row r="192" spans="1:35">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331">
        <f>SUM(C195:C196)</f>
        <v>240.07013000000001</v>
      </c>
      <c r="D194" s="331">
        <f t="shared" ref="D194:AH194" si="112">SUM(D195:D196)</f>
        <v>303.30213000000003</v>
      </c>
      <c r="E194" s="331">
        <f t="shared" si="112"/>
        <v>1012.6754634195938</v>
      </c>
      <c r="F194" s="331">
        <f t="shared" si="112"/>
        <v>1194.989344058069</v>
      </c>
      <c r="G194" s="331">
        <f t="shared" si="112"/>
        <v>1373.4992708706438</v>
      </c>
      <c r="H194" s="402">
        <f t="shared" si="112"/>
        <v>1376.7950354599689</v>
      </c>
      <c r="I194" s="14">
        <f t="shared" si="112"/>
        <v>1386.3375255757126</v>
      </c>
      <c r="J194" s="14">
        <f t="shared" si="112"/>
        <v>1395.1022663904437</v>
      </c>
      <c r="K194" s="14">
        <f t="shared" si="112"/>
        <v>1395.1499414311502</v>
      </c>
      <c r="L194" s="14">
        <f t="shared" si="112"/>
        <v>1395.1864370978374</v>
      </c>
      <c r="M194" s="14">
        <f t="shared" si="112"/>
        <v>1395.0466861291063</v>
      </c>
      <c r="N194" s="187">
        <f t="shared" si="112"/>
        <v>1395.5632385067377</v>
      </c>
      <c r="O194" s="14">
        <f t="shared" si="112"/>
        <v>1395.7367592403</v>
      </c>
      <c r="P194" s="14">
        <f t="shared" si="112"/>
        <v>1395.9464957528562</v>
      </c>
      <c r="Q194" s="14">
        <f t="shared" si="112"/>
        <v>1396.2935458000254</v>
      </c>
      <c r="R194" s="14">
        <f t="shared" si="112"/>
        <v>1397.1775638146</v>
      </c>
      <c r="S194" s="15">
        <f t="shared" si="112"/>
        <v>1398.5319340431188</v>
      </c>
      <c r="T194" s="14">
        <f t="shared" si="112"/>
        <v>1400.527004196344</v>
      </c>
      <c r="U194" s="14">
        <f t="shared" si="112"/>
        <v>1402.7134632880436</v>
      </c>
      <c r="V194" s="14">
        <f t="shared" si="112"/>
        <v>1404.8904874548628</v>
      </c>
      <c r="W194" s="14">
        <f t="shared" si="112"/>
        <v>1407.1413028476941</v>
      </c>
      <c r="X194" s="187">
        <f t="shared" si="112"/>
        <v>1409.8237447124188</v>
      </c>
      <c r="Y194" s="158">
        <f t="shared" si="112"/>
        <v>1411.9735840821563</v>
      </c>
      <c r="Z194" s="158">
        <f t="shared" si="112"/>
        <v>1414.0475231311189</v>
      </c>
      <c r="AA194" s="158">
        <f t="shared" si="112"/>
        <v>1417.9624941250504</v>
      </c>
      <c r="AB194" s="158">
        <f t="shared" si="112"/>
        <v>1424.3797745564</v>
      </c>
      <c r="AC194" s="158">
        <f t="shared" si="112"/>
        <v>1428.7783055381565</v>
      </c>
      <c r="AD194" s="158">
        <f t="shared" si="112"/>
        <v>1431.5492949456441</v>
      </c>
      <c r="AE194" s="158">
        <f t="shared" si="112"/>
        <v>1439.7633293164313</v>
      </c>
      <c r="AF194" s="158">
        <f t="shared" si="112"/>
        <v>1445.9476427965189</v>
      </c>
      <c r="AG194" s="158">
        <f t="shared" si="112"/>
        <v>1458.4700016904126</v>
      </c>
      <c r="AH194" s="187">
        <f t="shared" si="112"/>
        <v>1475.9658517070125</v>
      </c>
    </row>
    <row r="195" spans="1:34">
      <c r="A195" t="s">
        <v>389</v>
      </c>
      <c r="C195" s="330">
        <f>'Output - Jobs vs Yr (BAU)'!C51</f>
        <v>126.35270000000001</v>
      </c>
      <c r="D195" s="330">
        <f>'Output - Jobs vs Yr (BAU)'!D51</f>
        <v>159.63270000000003</v>
      </c>
      <c r="E195" s="330">
        <f>'Output - Jobs vs Yr (BAU)'!E51</f>
        <v>532.98708601031251</v>
      </c>
      <c r="F195" s="330">
        <f>'Output - Jobs vs Yr (BAU)'!F51</f>
        <v>628.94176003056259</v>
      </c>
      <c r="G195" s="330">
        <f>'Output - Jobs vs Yr (BAU)'!G51</f>
        <v>722.89435308981251</v>
      </c>
      <c r="H195" s="286">
        <f>'Output - Jobs vs Yr (BAU)'!H51</f>
        <v>724.62896603156264</v>
      </c>
      <c r="I195" s="118">
        <f>'Output - Jobs vs Yr (BAU)'!I51</f>
        <v>729.65132925037506</v>
      </c>
      <c r="J195" s="118">
        <f>'Output - Jobs vs Yr (BAU)'!J51</f>
        <v>734.26435073181244</v>
      </c>
      <c r="K195" s="118">
        <f>'Output - Jobs vs Yr (BAU)'!K51</f>
        <v>734.28944285850014</v>
      </c>
      <c r="L195" s="118">
        <f>'Output - Jobs vs Yr (BAU)'!L51</f>
        <v>734.30865110412503</v>
      </c>
      <c r="M195" s="118">
        <f>'Output - Jobs vs Yr (BAU)'!M51</f>
        <v>734.23509796268752</v>
      </c>
      <c r="N195" s="177">
        <f>'Output - Jobs vs Yr (BAU)'!N51</f>
        <v>734.50696763512508</v>
      </c>
      <c r="O195" s="118">
        <f>'Output - Jobs vs Yr (BAU)'!O51</f>
        <v>734.59829433699997</v>
      </c>
      <c r="P195" s="118">
        <f>'Output - Jobs vs Yr (BAU)'!P51</f>
        <v>734.70868197518757</v>
      </c>
      <c r="Q195" s="118">
        <f>'Output - Jobs vs Yr (BAU)'!Q51</f>
        <v>734.89133989475022</v>
      </c>
      <c r="R195" s="118">
        <f>'Output - Jobs vs Yr (BAU)'!R51</f>
        <v>735.35661253399996</v>
      </c>
      <c r="S195" s="118">
        <f>'Output - Jobs vs Yr (BAU)'!S51</f>
        <v>736.06943897006249</v>
      </c>
      <c r="T195" s="118">
        <f>'Output - Jobs vs Yr (BAU)'!T51</f>
        <v>737.1194758928126</v>
      </c>
      <c r="U195" s="118">
        <f>'Output - Jobs vs Yr (BAU)'!U51</f>
        <v>738.27024383581238</v>
      </c>
      <c r="V195" s="118">
        <f>'Output - Jobs vs Yr (BAU)'!V51</f>
        <v>739.41604602887514</v>
      </c>
      <c r="W195" s="118">
        <f>'Output - Jobs vs Yr (BAU)'!W51</f>
        <v>740.60068570931264</v>
      </c>
      <c r="X195" s="184">
        <f>'Output - Jobs vs Yr (BAU)'!X51</f>
        <v>742.01249721706256</v>
      </c>
      <c r="Y195" s="271">
        <f>'Output - Jobs vs Yr (BAU)'!Y51</f>
        <v>743.14399162218751</v>
      </c>
      <c r="Z195" s="271">
        <f>'Output - Jobs vs Yr (BAU)'!Z51</f>
        <v>744.23553849006259</v>
      </c>
      <c r="AA195" s="271">
        <f>'Output - Jobs vs Yr (BAU)'!AA51</f>
        <v>746.29604953950025</v>
      </c>
      <c r="AB195" s="271">
        <f>'Output - Jobs vs Yr (BAU)'!AB51</f>
        <v>749.67356555599997</v>
      </c>
      <c r="AC195" s="271">
        <f>'Output - Jobs vs Yr (BAU)'!AC51</f>
        <v>751.98858186218763</v>
      </c>
      <c r="AD195" s="271">
        <f>'Output - Jobs vs Yr (BAU)'!AD51</f>
        <v>753.4469973398127</v>
      </c>
      <c r="AE195" s="271">
        <f>'Output - Jobs vs Yr (BAU)'!AE51</f>
        <v>757.77017332443756</v>
      </c>
      <c r="AF195" s="271">
        <f>'Output - Jobs vs Yr (BAU)'!AF51</f>
        <v>761.0250751560626</v>
      </c>
      <c r="AG195" s="271">
        <f>'Output - Jobs vs Yr (BAU)'!AG51</f>
        <v>767.61579036337503</v>
      </c>
      <c r="AH195" s="184">
        <f>'Output - Jobs vs Yr (BAU)'!AH51</f>
        <v>776.82413247737509</v>
      </c>
    </row>
    <row r="196" spans="1:34">
      <c r="A196" t="s">
        <v>390</v>
      </c>
      <c r="C196" s="330">
        <f>'Output - Jobs vs Yr (BAU)'!C69</f>
        <v>113.71743000000001</v>
      </c>
      <c r="D196" s="330">
        <f>'Output - Jobs vs Yr (BAU)'!D69</f>
        <v>143.66943000000003</v>
      </c>
      <c r="E196" s="330">
        <f>'Output - Jobs vs Yr (BAU)'!E69</f>
        <v>479.68837740928126</v>
      </c>
      <c r="F196" s="330">
        <f>'Output - Jobs vs Yr (BAU)'!F69</f>
        <v>566.04758402750633</v>
      </c>
      <c r="G196" s="330">
        <f>'Output - Jobs vs Yr (BAU)'!G69</f>
        <v>650.60491778083133</v>
      </c>
      <c r="H196" s="286">
        <f>'Output - Jobs vs Yr (BAU)'!H69</f>
        <v>652.16606942840633</v>
      </c>
      <c r="I196" s="118">
        <f>'Output - Jobs vs Yr (BAU)'!I69</f>
        <v>656.68619632533751</v>
      </c>
      <c r="J196" s="118">
        <f>'Output - Jobs vs Yr (BAU)'!J69</f>
        <v>660.83791565863123</v>
      </c>
      <c r="K196" s="118">
        <f>'Output - Jobs vs Yr (BAU)'!K69</f>
        <v>660.86049857265016</v>
      </c>
      <c r="L196" s="118">
        <f>'Output - Jobs vs Yr (BAU)'!L69</f>
        <v>660.87778599371245</v>
      </c>
      <c r="M196" s="118">
        <f>'Output - Jobs vs Yr (BAU)'!M69</f>
        <v>660.8115881664188</v>
      </c>
      <c r="N196" s="177">
        <f>'Output - Jobs vs Yr (BAU)'!N69</f>
        <v>661.05627087161258</v>
      </c>
      <c r="O196" s="118">
        <f>'Output - Jobs vs Yr (BAU)'!O69</f>
        <v>661.13846490330002</v>
      </c>
      <c r="P196" s="118">
        <f>'Output - Jobs vs Yr (BAU)'!P69</f>
        <v>661.23781377766875</v>
      </c>
      <c r="Q196" s="118">
        <f>'Output - Jobs vs Yr (BAU)'!Q69</f>
        <v>661.4022059052752</v>
      </c>
      <c r="R196" s="118">
        <f>'Output - Jobs vs Yr (BAU)'!R69</f>
        <v>661.82095128060007</v>
      </c>
      <c r="S196" s="118">
        <f>'Output - Jobs vs Yr (BAU)'!S69</f>
        <v>662.46249507305629</v>
      </c>
      <c r="T196" s="118">
        <f>'Output - Jobs vs Yr (BAU)'!T69</f>
        <v>663.40752830353131</v>
      </c>
      <c r="U196" s="118">
        <f>'Output - Jobs vs Yr (BAU)'!U69</f>
        <v>664.44321945223123</v>
      </c>
      <c r="V196" s="118">
        <f>'Output - Jobs vs Yr (BAU)'!V69</f>
        <v>665.47444142598761</v>
      </c>
      <c r="W196" s="118">
        <f>'Output - Jobs vs Yr (BAU)'!W69</f>
        <v>666.54061713838132</v>
      </c>
      <c r="X196" s="184">
        <f>'Output - Jobs vs Yr (BAU)'!X69</f>
        <v>667.81124749535627</v>
      </c>
      <c r="Y196" s="271">
        <f>'Output - Jobs vs Yr (BAU)'!Y69</f>
        <v>668.82959245996881</v>
      </c>
      <c r="Z196" s="271">
        <f>'Output - Jobs vs Yr (BAU)'!Z69</f>
        <v>669.81198464105637</v>
      </c>
      <c r="AA196" s="271">
        <f>'Output - Jobs vs Yr (BAU)'!AA69</f>
        <v>671.66644458555027</v>
      </c>
      <c r="AB196" s="271">
        <f>'Output - Jobs vs Yr (BAU)'!AB69</f>
        <v>674.70620900040001</v>
      </c>
      <c r="AC196" s="271">
        <f>'Output - Jobs vs Yr (BAU)'!AC69</f>
        <v>676.78972367596884</v>
      </c>
      <c r="AD196" s="271">
        <f>'Output - Jobs vs Yr (BAU)'!AD69</f>
        <v>678.10229760583138</v>
      </c>
      <c r="AE196" s="271">
        <f>'Output - Jobs vs Yr (BAU)'!AE69</f>
        <v>681.99315599199383</v>
      </c>
      <c r="AF196" s="271">
        <f>'Output - Jobs vs Yr (BAU)'!AF69</f>
        <v>684.92256764045635</v>
      </c>
      <c r="AG196" s="271">
        <f>'Output - Jobs vs Yr (BAU)'!AG69</f>
        <v>690.85421132703755</v>
      </c>
      <c r="AH196" s="184">
        <f>'Output - Jobs vs Yr (BAU)'!AH69</f>
        <v>699.14171922963749</v>
      </c>
    </row>
    <row r="197" spans="1:34">
      <c r="A197" t="s">
        <v>391</v>
      </c>
      <c r="C197" s="331">
        <f>SUM(C198:C199)</f>
        <v>469.10714999999993</v>
      </c>
      <c r="D197" s="331">
        <f t="shared" ref="D197:AH197" si="113">SUM(D198:D199)</f>
        <v>389.59214999999995</v>
      </c>
      <c r="E197" s="331">
        <f t="shared" si="113"/>
        <v>585.39973717137536</v>
      </c>
      <c r="F197" s="331">
        <f t="shared" si="113"/>
        <v>459.27685748660099</v>
      </c>
      <c r="G197" s="331">
        <f t="shared" si="113"/>
        <v>589.66809616693354</v>
      </c>
      <c r="H197" s="402">
        <f t="shared" si="113"/>
        <v>631.42675182528751</v>
      </c>
      <c r="I197" s="14">
        <f t="shared" si="113"/>
        <v>670.2092624050764</v>
      </c>
      <c r="J197" s="14">
        <f t="shared" si="113"/>
        <v>682.07033182637565</v>
      </c>
      <c r="K197" s="14">
        <f t="shared" si="113"/>
        <v>751.31016945938541</v>
      </c>
      <c r="L197" s="14">
        <f t="shared" si="113"/>
        <v>751.31016945938541</v>
      </c>
      <c r="M197" s="14">
        <f t="shared" si="113"/>
        <v>751.31016945938541</v>
      </c>
      <c r="N197" s="187">
        <f t="shared" si="113"/>
        <v>751.31010985542275</v>
      </c>
      <c r="O197" s="14">
        <f t="shared" si="113"/>
        <v>760.43511896096356</v>
      </c>
      <c r="P197" s="14">
        <f t="shared" si="113"/>
        <v>760.43511896096356</v>
      </c>
      <c r="Q197" s="14">
        <f t="shared" si="113"/>
        <v>792.39768449479948</v>
      </c>
      <c r="R197" s="14">
        <f t="shared" si="113"/>
        <v>792.39768449479948</v>
      </c>
      <c r="S197" s="15">
        <f t="shared" si="113"/>
        <v>792.39768449479948</v>
      </c>
      <c r="T197" s="14">
        <f t="shared" si="113"/>
        <v>792.39768449479948</v>
      </c>
      <c r="U197" s="14">
        <f t="shared" si="113"/>
        <v>792.39768449479948</v>
      </c>
      <c r="V197" s="14">
        <f t="shared" si="113"/>
        <v>797.52124115092101</v>
      </c>
      <c r="W197" s="14">
        <f t="shared" si="113"/>
        <v>797.52124115092101</v>
      </c>
      <c r="X197" s="187">
        <f t="shared" si="113"/>
        <v>800.85554644291869</v>
      </c>
      <c r="Y197" s="158">
        <f t="shared" si="113"/>
        <v>810.72226726354529</v>
      </c>
      <c r="Z197" s="158">
        <f t="shared" si="113"/>
        <v>819.34392090188089</v>
      </c>
      <c r="AA197" s="158">
        <f t="shared" si="113"/>
        <v>819.34392090188089</v>
      </c>
      <c r="AB197" s="158">
        <f t="shared" si="113"/>
        <v>831.12410774544219</v>
      </c>
      <c r="AC197" s="158">
        <f t="shared" si="113"/>
        <v>841.59348423556662</v>
      </c>
      <c r="AD197" s="158">
        <f t="shared" si="113"/>
        <v>845.87298917219869</v>
      </c>
      <c r="AE197" s="158">
        <f t="shared" si="113"/>
        <v>845.87298917219869</v>
      </c>
      <c r="AF197" s="158">
        <f t="shared" si="113"/>
        <v>845.87298917219869</v>
      </c>
      <c r="AG197" s="158">
        <f t="shared" si="113"/>
        <v>845.87298917219869</v>
      </c>
      <c r="AH197" s="187">
        <f t="shared" si="113"/>
        <v>845.87298917219869</v>
      </c>
    </row>
    <row r="198" spans="1:34">
      <c r="A198" t="s">
        <v>393</v>
      </c>
      <c r="C198" s="330">
        <f>SUM('Output - Jobs vs Yr (BAU)'!C40:C43)</f>
        <v>246.89849999999998</v>
      </c>
      <c r="D198" s="330">
        <f>SUM('Output - Jobs vs Yr (BAU)'!D40:D43)</f>
        <v>205.04849999999999</v>
      </c>
      <c r="E198" s="330">
        <f>SUM('Output - Jobs vs Yr (BAU)'!E40:E43)</f>
        <v>308.10512482703962</v>
      </c>
      <c r="F198" s="330">
        <f>SUM('Output - Jobs vs Yr (BAU)'!F40:F43)</f>
        <v>241.72466183505315</v>
      </c>
      <c r="G198" s="330">
        <f>SUM('Output - Jobs vs Yr (BAU)'!G40:G43)</f>
        <v>310.35162956154397</v>
      </c>
      <c r="H198" s="286">
        <f>SUM('Output - Jobs vs Yr (BAU)'!H40:H43)</f>
        <v>332.32986938173025</v>
      </c>
      <c r="I198" s="118">
        <f>SUM('Output - Jobs vs Yr (BAU)'!I40:I43)</f>
        <v>352.74171705530335</v>
      </c>
      <c r="J198" s="118">
        <f>SUM('Output - Jobs vs Yr (BAU)'!J40:J43)</f>
        <v>358.98438517177669</v>
      </c>
      <c r="K198" s="118">
        <f>SUM('Output - Jobs vs Yr (BAU)'!K40:K43)</f>
        <v>395.42640497862391</v>
      </c>
      <c r="L198" s="118">
        <f>SUM('Output - Jobs vs Yr (BAU)'!L40:L43)</f>
        <v>395.42640497862391</v>
      </c>
      <c r="M198" s="118">
        <f>SUM('Output - Jobs vs Yr (BAU)'!M40:M43)</f>
        <v>395.42640497862391</v>
      </c>
      <c r="N198" s="177">
        <f>SUM('Output - Jobs vs Yr (BAU)'!N40:N43)</f>
        <v>395.42637360811722</v>
      </c>
      <c r="O198" s="118">
        <f>SUM('Output - Jobs vs Yr (BAU)'!O40:O43)</f>
        <v>400.22900997945447</v>
      </c>
      <c r="P198" s="118">
        <f>SUM('Output - Jobs vs Yr (BAU)'!P40:P43)</f>
        <v>400.22900997945447</v>
      </c>
      <c r="Q198" s="118">
        <f>SUM('Output - Jobs vs Yr (BAU)'!Q40:Q43)</f>
        <v>417.05141289199969</v>
      </c>
      <c r="R198" s="118">
        <f>SUM('Output - Jobs vs Yr (BAU)'!R40:R43)</f>
        <v>417.05141289199969</v>
      </c>
      <c r="S198" s="118">
        <f>SUM('Output - Jobs vs Yr (BAU)'!S40:S43)</f>
        <v>417.05141289199969</v>
      </c>
      <c r="T198" s="118">
        <f>SUM('Output - Jobs vs Yr (BAU)'!T40:T43)</f>
        <v>417.05141289199969</v>
      </c>
      <c r="U198" s="118">
        <f>SUM('Output - Jobs vs Yr (BAU)'!U40:U43)</f>
        <v>417.05141289199969</v>
      </c>
      <c r="V198" s="118">
        <f>SUM('Output - Jobs vs Yr (BAU)'!V40:V43)</f>
        <v>419.74802165837951</v>
      </c>
      <c r="W198" s="118">
        <f>SUM('Output - Jobs vs Yr (BAU)'!W40:W43)</f>
        <v>419.74802165837951</v>
      </c>
      <c r="X198" s="184">
        <f>SUM('Output - Jobs vs Yr (BAU)'!X40:X43)</f>
        <v>421.5029191804835</v>
      </c>
      <c r="Y198" s="271">
        <f>SUM('Output - Jobs vs Yr (BAU)'!Y40:Y43)</f>
        <v>426.69593013870804</v>
      </c>
      <c r="Z198" s="271">
        <f>SUM('Output - Jobs vs Yr (BAU)'!Z40:Z43)</f>
        <v>431.23364257993728</v>
      </c>
      <c r="AA198" s="271">
        <f>SUM('Output - Jobs vs Yr (BAU)'!AA40:AA43)</f>
        <v>431.23364257993728</v>
      </c>
      <c r="AB198" s="271">
        <f>SUM('Output - Jobs vs Yr (BAU)'!AB40:AB43)</f>
        <v>437.43374091865377</v>
      </c>
      <c r="AC198" s="271">
        <f>SUM('Output - Jobs vs Yr (BAU)'!AC40:AC43)</f>
        <v>442.94393907135088</v>
      </c>
      <c r="AD198" s="271">
        <f>SUM('Output - Jobs vs Yr (BAU)'!AD40:AD43)</f>
        <v>445.1963100906309</v>
      </c>
      <c r="AE198" s="271">
        <f>SUM('Output - Jobs vs Yr (BAU)'!AE40:AE43)</f>
        <v>445.1963100906309</v>
      </c>
      <c r="AF198" s="271">
        <f>SUM('Output - Jobs vs Yr (BAU)'!AF40:AF43)</f>
        <v>445.1963100906309</v>
      </c>
      <c r="AG198" s="271">
        <f>SUM('Output - Jobs vs Yr (BAU)'!AG40:AG43)</f>
        <v>445.1963100906309</v>
      </c>
      <c r="AH198" s="184">
        <f>SUM('Output - Jobs vs Yr (BAU)'!AH40:AH43)</f>
        <v>445.1963100906309</v>
      </c>
    </row>
    <row r="199" spans="1:34">
      <c r="A199" t="s">
        <v>392</v>
      </c>
      <c r="C199" s="330">
        <f>SUM('Output - Jobs vs Yr (BAU)'!C58:C61)</f>
        <v>222.20864999999998</v>
      </c>
      <c r="D199" s="330">
        <f>SUM('Output - Jobs vs Yr (BAU)'!D58:D61)</f>
        <v>184.54364999999999</v>
      </c>
      <c r="E199" s="330">
        <f>SUM('Output - Jobs vs Yr (BAU)'!E58:E61)</f>
        <v>277.29461234433569</v>
      </c>
      <c r="F199" s="330">
        <f>SUM('Output - Jobs vs Yr (BAU)'!F58:F61)</f>
        <v>217.55219565154783</v>
      </c>
      <c r="G199" s="330">
        <f>SUM('Output - Jobs vs Yr (BAU)'!G58:G61)</f>
        <v>279.31646660538956</v>
      </c>
      <c r="H199" s="286">
        <f>SUM('Output - Jobs vs Yr (BAU)'!H58:H61)</f>
        <v>299.09688244355721</v>
      </c>
      <c r="I199" s="118">
        <f>SUM('Output - Jobs vs Yr (BAU)'!I58:I61)</f>
        <v>317.46754534977305</v>
      </c>
      <c r="J199" s="118">
        <f>SUM('Output - Jobs vs Yr (BAU)'!J58:J61)</f>
        <v>323.08594665459901</v>
      </c>
      <c r="K199" s="118">
        <f>SUM('Output - Jobs vs Yr (BAU)'!K58:K61)</f>
        <v>355.8837644807615</v>
      </c>
      <c r="L199" s="118">
        <f>SUM('Output - Jobs vs Yr (BAU)'!L58:L61)</f>
        <v>355.8837644807615</v>
      </c>
      <c r="M199" s="118">
        <f>SUM('Output - Jobs vs Yr (BAU)'!M58:M61)</f>
        <v>355.8837644807615</v>
      </c>
      <c r="N199" s="177">
        <f>SUM('Output - Jobs vs Yr (BAU)'!N58:N61)</f>
        <v>355.88373624730548</v>
      </c>
      <c r="O199" s="118">
        <f>SUM('Output - Jobs vs Yr (BAU)'!O58:O61)</f>
        <v>360.20610898150903</v>
      </c>
      <c r="P199" s="118">
        <f>SUM('Output - Jobs vs Yr (BAU)'!P58:P61)</f>
        <v>360.20610898150903</v>
      </c>
      <c r="Q199" s="118">
        <f>SUM('Output - Jobs vs Yr (BAU)'!Q58:Q61)</f>
        <v>375.34627160279973</v>
      </c>
      <c r="R199" s="118">
        <f>SUM('Output - Jobs vs Yr (BAU)'!R58:R61)</f>
        <v>375.34627160279973</v>
      </c>
      <c r="S199" s="118">
        <f>SUM('Output - Jobs vs Yr (BAU)'!S58:S61)</f>
        <v>375.34627160279973</v>
      </c>
      <c r="T199" s="118">
        <f>SUM('Output - Jobs vs Yr (BAU)'!T58:T61)</f>
        <v>375.34627160279973</v>
      </c>
      <c r="U199" s="118">
        <f>SUM('Output - Jobs vs Yr (BAU)'!U58:U61)</f>
        <v>375.34627160279973</v>
      </c>
      <c r="V199" s="118">
        <f>SUM('Output - Jobs vs Yr (BAU)'!V58:V61)</f>
        <v>377.77321949254156</v>
      </c>
      <c r="W199" s="118">
        <f>SUM('Output - Jobs vs Yr (BAU)'!W58:W61)</f>
        <v>377.77321949254156</v>
      </c>
      <c r="X199" s="184">
        <f>SUM('Output - Jobs vs Yr (BAU)'!X58:X61)</f>
        <v>379.35262726243513</v>
      </c>
      <c r="Y199" s="271">
        <f>SUM('Output - Jobs vs Yr (BAU)'!Y58:Y61)</f>
        <v>384.02633712483726</v>
      </c>
      <c r="Z199" s="271">
        <f>SUM('Output - Jobs vs Yr (BAU)'!Z58:Z61)</f>
        <v>388.11027832194355</v>
      </c>
      <c r="AA199" s="271">
        <f>SUM('Output - Jobs vs Yr (BAU)'!AA58:AA61)</f>
        <v>388.11027832194355</v>
      </c>
      <c r="AB199" s="271">
        <f>SUM('Output - Jobs vs Yr (BAU)'!AB58:AB61)</f>
        <v>393.69036682678842</v>
      </c>
      <c r="AC199" s="271">
        <f>SUM('Output - Jobs vs Yr (BAU)'!AC58:AC61)</f>
        <v>398.64954516421579</v>
      </c>
      <c r="AD199" s="271">
        <f>SUM('Output - Jobs vs Yr (BAU)'!AD58:AD61)</f>
        <v>400.67667908156784</v>
      </c>
      <c r="AE199" s="271">
        <f>SUM('Output - Jobs vs Yr (BAU)'!AE58:AE61)</f>
        <v>400.67667908156784</v>
      </c>
      <c r="AF199" s="271">
        <f>SUM('Output - Jobs vs Yr (BAU)'!AF58:AF61)</f>
        <v>400.67667908156784</v>
      </c>
      <c r="AG199" s="271">
        <f>SUM('Output - Jobs vs Yr (BAU)'!AG58:AG61)</f>
        <v>400.67667908156784</v>
      </c>
      <c r="AH199" s="184">
        <f>SUM('Output - Jobs vs Yr (BAU)'!AH58:AH61)</f>
        <v>400.67667908156784</v>
      </c>
    </row>
    <row r="200" spans="1:34">
      <c r="A200" t="s">
        <v>394</v>
      </c>
      <c r="C200" s="331">
        <f>SUM(C201:C202)</f>
        <v>14251.501</v>
      </c>
      <c r="D200" s="331">
        <f t="shared" ref="D200:AH200" si="114">SUM(D201:D202)</f>
        <v>16362.192000000001</v>
      </c>
      <c r="E200" s="331">
        <f t="shared" si="114"/>
        <v>16983.644766678866</v>
      </c>
      <c r="F200" s="331">
        <f t="shared" si="114"/>
        <v>14426.439743830877</v>
      </c>
      <c r="G200" s="331">
        <f t="shared" si="114"/>
        <v>16564.737916434664</v>
      </c>
      <c r="H200" s="402">
        <f t="shared" si="114"/>
        <v>16550.70759380528</v>
      </c>
      <c r="I200" s="14">
        <f t="shared" si="114"/>
        <v>16194.107624179975</v>
      </c>
      <c r="J200" s="14">
        <f t="shared" si="114"/>
        <v>16062.223766469469</v>
      </c>
      <c r="K200" s="14">
        <f t="shared" si="114"/>
        <v>16328.9185834374</v>
      </c>
      <c r="L200" s="14">
        <f t="shared" si="114"/>
        <v>16526.019890786054</v>
      </c>
      <c r="M200" s="14">
        <f t="shared" si="114"/>
        <v>16672.042836886743</v>
      </c>
      <c r="N200" s="187">
        <f t="shared" si="114"/>
        <v>16744.063822844124</v>
      </c>
      <c r="O200" s="14">
        <f t="shared" si="114"/>
        <v>16861.858039803123</v>
      </c>
      <c r="P200" s="14">
        <f t="shared" si="114"/>
        <v>16920.800050310077</v>
      </c>
      <c r="Q200" s="14">
        <f t="shared" si="114"/>
        <v>16916.57225800505</v>
      </c>
      <c r="R200" s="14">
        <f t="shared" si="114"/>
        <v>16988.762962569606</v>
      </c>
      <c r="S200" s="15">
        <f t="shared" si="114"/>
        <v>17023.983928966882</v>
      </c>
      <c r="T200" s="14">
        <f t="shared" si="114"/>
        <v>17026.807392794275</v>
      </c>
      <c r="U200" s="14">
        <f t="shared" si="114"/>
        <v>17040.424726584755</v>
      </c>
      <c r="V200" s="14">
        <f t="shared" si="114"/>
        <v>17035.459286400855</v>
      </c>
      <c r="W200" s="14">
        <f t="shared" si="114"/>
        <v>17031.904012832489</v>
      </c>
      <c r="X200" s="187">
        <f t="shared" si="114"/>
        <v>16953.808078845457</v>
      </c>
      <c r="Y200" s="158">
        <f t="shared" si="114"/>
        <v>16908.624369111003</v>
      </c>
      <c r="Z200" s="158">
        <f t="shared" si="114"/>
        <v>16888.532921469701</v>
      </c>
      <c r="AA200" s="158">
        <f t="shared" si="114"/>
        <v>16883.358767855425</v>
      </c>
      <c r="AB200" s="158">
        <f t="shared" si="114"/>
        <v>16882.428935264048</v>
      </c>
      <c r="AC200" s="158">
        <f t="shared" si="114"/>
        <v>16877.383943243716</v>
      </c>
      <c r="AD200" s="158">
        <f t="shared" si="114"/>
        <v>16875.468389540147</v>
      </c>
      <c r="AE200" s="158">
        <f t="shared" si="114"/>
        <v>16863.988456678133</v>
      </c>
      <c r="AF200" s="158">
        <f t="shared" si="114"/>
        <v>16852.025122804371</v>
      </c>
      <c r="AG200" s="158">
        <f t="shared" si="114"/>
        <v>16842.37489994679</v>
      </c>
      <c r="AH200" s="187">
        <f t="shared" si="114"/>
        <v>16833.129790748015</v>
      </c>
    </row>
    <row r="201" spans="1:34">
      <c r="A201" t="s">
        <v>395</v>
      </c>
      <c r="C201" s="330">
        <f>SUM('Output - Jobs vs Yr (BAU)'!C53:C54)</f>
        <v>7500.79</v>
      </c>
      <c r="D201" s="330">
        <f>SUM('Output - Jobs vs Yr (BAU)'!D53:D54)</f>
        <v>8611.68</v>
      </c>
      <c r="E201" s="330">
        <f>SUM('Output - Jobs vs Yr (BAU)'!E53:E54)</f>
        <v>8938.7604035151926</v>
      </c>
      <c r="F201" s="330">
        <f>SUM('Output - Jobs vs Yr (BAU)'!F53:F54)</f>
        <v>7592.8630230688832</v>
      </c>
      <c r="G201" s="330">
        <f>SUM('Output - Jobs vs Yr (BAU)'!G53:G54)</f>
        <v>8718.2831139129812</v>
      </c>
      <c r="H201" s="286">
        <f>SUM('Output - Jobs vs Yr (BAU)'!H53:H54)</f>
        <v>8710.8987335817255</v>
      </c>
      <c r="I201" s="118">
        <f>SUM('Output - Jobs vs Yr (BAU)'!I53:I54)</f>
        <v>8523.2145390420919</v>
      </c>
      <c r="J201" s="118">
        <f>SUM('Output - Jobs vs Yr (BAU)'!J53:J54)</f>
        <v>8453.8019823523518</v>
      </c>
      <c r="K201" s="118">
        <f>SUM('Output - Jobs vs Yr (BAU)'!K53:K54)</f>
        <v>8594.1676754933687</v>
      </c>
      <c r="L201" s="118">
        <f>SUM('Output - Jobs vs Yr (BAU)'!L53:L54)</f>
        <v>8697.9052056768705</v>
      </c>
      <c r="M201" s="118">
        <f>SUM('Output - Jobs vs Yr (BAU)'!M53:M54)</f>
        <v>8774.7593878351272</v>
      </c>
      <c r="N201" s="177">
        <f>SUM('Output - Jobs vs Yr (BAU)'!N53:N54)</f>
        <v>8812.6651699179602</v>
      </c>
      <c r="O201" s="118">
        <f>SUM('Output - Jobs vs Yr (BAU)'!O53:O54)</f>
        <v>8874.6621262121698</v>
      </c>
      <c r="P201" s="118">
        <f>SUM('Output - Jobs vs Yr (BAU)'!P53:P54)</f>
        <v>8905.6842370053037</v>
      </c>
      <c r="Q201" s="118">
        <f>SUM('Output - Jobs vs Yr (BAU)'!Q53:Q54)</f>
        <v>8903.4590831605528</v>
      </c>
      <c r="R201" s="118">
        <f>SUM('Output - Jobs vs Yr (BAU)'!R53:R54)</f>
        <v>8941.454190826109</v>
      </c>
      <c r="S201" s="118">
        <f>SUM('Output - Jobs vs Yr (BAU)'!S53:S54)</f>
        <v>8959.9915415615178</v>
      </c>
      <c r="T201" s="118">
        <f>SUM('Output - Jobs vs Yr (BAU)'!T53:T54)</f>
        <v>8961.4775751548823</v>
      </c>
      <c r="U201" s="118">
        <f>SUM('Output - Jobs vs Yr (BAU)'!U53:U54)</f>
        <v>8968.6445929393449</v>
      </c>
      <c r="V201" s="118">
        <f>SUM('Output - Jobs vs Yr (BAU)'!V53:V54)</f>
        <v>8966.0312033688715</v>
      </c>
      <c r="W201" s="118">
        <f>SUM('Output - Jobs vs Yr (BAU)'!W53:W54)</f>
        <v>8964.1600067539421</v>
      </c>
      <c r="X201" s="184">
        <f>SUM('Output - Jobs vs Yr (BAU)'!X53:X54)</f>
        <v>8923.0568836028724</v>
      </c>
      <c r="Y201" s="271">
        <f>SUM('Output - Jobs vs Yr (BAU)'!Y53:Y54)</f>
        <v>8899.2759837426329</v>
      </c>
      <c r="Z201" s="271">
        <f>SUM('Output - Jobs vs Yr (BAU)'!Z53:Z54)</f>
        <v>8888.7015376156323</v>
      </c>
      <c r="AA201" s="271">
        <f>SUM('Output - Jobs vs Yr (BAU)'!AA53:AA54)</f>
        <v>8885.9782988712759</v>
      </c>
      <c r="AB201" s="271">
        <f>SUM('Output - Jobs vs Yr (BAU)'!AB53:AB54)</f>
        <v>8885.4889132968674</v>
      </c>
      <c r="AC201" s="271">
        <f>SUM('Output - Jobs vs Yr (BAU)'!AC53:AC54)</f>
        <v>8882.8336543387977</v>
      </c>
      <c r="AD201" s="271">
        <f>SUM('Output - Jobs vs Yr (BAU)'!AD53:AD54)</f>
        <v>8881.825468179024</v>
      </c>
      <c r="AE201" s="271">
        <f>SUM('Output - Jobs vs Yr (BAU)'!AE53:AE54)</f>
        <v>8875.7833982516477</v>
      </c>
      <c r="AF201" s="271">
        <f>SUM('Output - Jobs vs Yr (BAU)'!AF53:AF54)</f>
        <v>8869.4869067391428</v>
      </c>
      <c r="AG201" s="271">
        <f>SUM('Output - Jobs vs Yr (BAU)'!AG53:AG54)</f>
        <v>8864.4078420772585</v>
      </c>
      <c r="AH201" s="184">
        <f>SUM('Output - Jobs vs Yr (BAU)'!AH53:AH54)</f>
        <v>8859.5419951305339</v>
      </c>
    </row>
    <row r="202" spans="1:34">
      <c r="A202" t="s">
        <v>396</v>
      </c>
      <c r="C202" s="330">
        <f>SUM('Output - Jobs vs Yr (BAU)'!C71:C72)</f>
        <v>6750.7110000000002</v>
      </c>
      <c r="D202" s="330">
        <f>SUM('Output - Jobs vs Yr (BAU)'!D71:D72)</f>
        <v>7750.5120000000006</v>
      </c>
      <c r="E202" s="330">
        <f>SUM('Output - Jobs vs Yr (BAU)'!E71:E72)</f>
        <v>8044.8843631636746</v>
      </c>
      <c r="F202" s="330">
        <f>SUM('Output - Jobs vs Yr (BAU)'!F71:F72)</f>
        <v>6833.5767207619947</v>
      </c>
      <c r="G202" s="330">
        <f>SUM('Output - Jobs vs Yr (BAU)'!G71:G72)</f>
        <v>7846.4548025216827</v>
      </c>
      <c r="H202" s="286">
        <f>SUM('Output - Jobs vs Yr (BAU)'!H71:H72)</f>
        <v>7839.808860223553</v>
      </c>
      <c r="I202" s="118">
        <f>SUM('Output - Jobs vs Yr (BAU)'!I71:I72)</f>
        <v>7670.8930851378818</v>
      </c>
      <c r="J202" s="118">
        <f>SUM('Output - Jobs vs Yr (BAU)'!J71:J72)</f>
        <v>7608.4217841171167</v>
      </c>
      <c r="K202" s="118">
        <f>SUM('Output - Jobs vs Yr (BAU)'!K71:K72)</f>
        <v>7734.7509079440315</v>
      </c>
      <c r="L202" s="118">
        <f>SUM('Output - Jobs vs Yr (BAU)'!L71:L72)</f>
        <v>7828.1146851091826</v>
      </c>
      <c r="M202" s="118">
        <f>SUM('Output - Jobs vs Yr (BAU)'!M71:M72)</f>
        <v>7897.2834490516143</v>
      </c>
      <c r="N202" s="177">
        <f>SUM('Output - Jobs vs Yr (BAU)'!N71:N72)</f>
        <v>7931.3986529261647</v>
      </c>
      <c r="O202" s="118">
        <f>SUM('Output - Jobs vs Yr (BAU)'!O71:O72)</f>
        <v>7987.1959135909528</v>
      </c>
      <c r="P202" s="118">
        <f>SUM('Output - Jobs vs Yr (BAU)'!P71:P72)</f>
        <v>8015.1158133047729</v>
      </c>
      <c r="Q202" s="118">
        <f>SUM('Output - Jobs vs Yr (BAU)'!Q71:Q72)</f>
        <v>8013.1131748444977</v>
      </c>
      <c r="R202" s="118">
        <f>SUM('Output - Jobs vs Yr (BAU)'!R71:R72)</f>
        <v>8047.3087717434983</v>
      </c>
      <c r="S202" s="118">
        <f>SUM('Output - Jobs vs Yr (BAU)'!S71:S72)</f>
        <v>8063.9923874053657</v>
      </c>
      <c r="T202" s="118">
        <f>SUM('Output - Jobs vs Yr (BAU)'!T71:T72)</f>
        <v>8065.3298176393946</v>
      </c>
      <c r="U202" s="118">
        <f>SUM('Output - Jobs vs Yr (BAU)'!U71:U72)</f>
        <v>8071.7801336454113</v>
      </c>
      <c r="V202" s="118">
        <f>SUM('Output - Jobs vs Yr (BAU)'!V71:V72)</f>
        <v>8069.4280830319849</v>
      </c>
      <c r="W202" s="118">
        <f>SUM('Output - Jobs vs Yr (BAU)'!W71:W72)</f>
        <v>8067.7440060785475</v>
      </c>
      <c r="X202" s="184">
        <f>SUM('Output - Jobs vs Yr (BAU)'!X71:X72)</f>
        <v>8030.7511952425857</v>
      </c>
      <c r="Y202" s="271">
        <f>SUM('Output - Jobs vs Yr (BAU)'!Y71:Y72)</f>
        <v>8009.3483853683692</v>
      </c>
      <c r="Z202" s="271">
        <f>SUM('Output - Jobs vs Yr (BAU)'!Z71:Z72)</f>
        <v>7999.8313838540689</v>
      </c>
      <c r="AA202" s="271">
        <f>SUM('Output - Jobs vs Yr (BAU)'!AA71:AA72)</f>
        <v>7997.3804689841481</v>
      </c>
      <c r="AB202" s="271">
        <f>SUM('Output - Jobs vs Yr (BAU)'!AB71:AB72)</f>
        <v>7996.9400219671816</v>
      </c>
      <c r="AC202" s="271">
        <f>SUM('Output - Jobs vs Yr (BAU)'!AC71:AC72)</f>
        <v>7994.5502889049176</v>
      </c>
      <c r="AD202" s="271">
        <f>SUM('Output - Jobs vs Yr (BAU)'!AD71:AD72)</f>
        <v>7993.6429213611218</v>
      </c>
      <c r="AE202" s="271">
        <f>SUM('Output - Jobs vs Yr (BAU)'!AE71:AE72)</f>
        <v>7988.2050584264834</v>
      </c>
      <c r="AF202" s="271">
        <f>SUM('Output - Jobs vs Yr (BAU)'!AF71:AF72)</f>
        <v>7982.5382160652289</v>
      </c>
      <c r="AG202" s="271">
        <f>SUM('Output - Jobs vs Yr (BAU)'!AG71:AG72)</f>
        <v>7977.9670578695323</v>
      </c>
      <c r="AH202" s="184">
        <f>SUM('Output - Jobs vs Yr (BAU)'!AH71:AH72)</f>
        <v>7973.5877956174818</v>
      </c>
    </row>
    <row r="203" spans="1:34">
      <c r="A203" s="1" t="s">
        <v>425</v>
      </c>
      <c r="C203" s="331">
        <f>SUM(C191,C194,C197,C200)</f>
        <v>14960.67828</v>
      </c>
      <c r="D203" s="331">
        <f t="shared" ref="D203:AH203" si="115">SUM(D191,D194,D197,D200)</f>
        <v>17055.08628</v>
      </c>
      <c r="E203" s="331">
        <f t="shared" si="115"/>
        <v>18581.719967269837</v>
      </c>
      <c r="F203" s="331">
        <f t="shared" si="115"/>
        <v>16080.705945375546</v>
      </c>
      <c r="G203" s="331">
        <f t="shared" si="115"/>
        <v>18527.905283472242</v>
      </c>
      <c r="H203" s="402">
        <f t="shared" si="115"/>
        <v>18558.929381090536</v>
      </c>
      <c r="I203" s="14">
        <f t="shared" si="115"/>
        <v>18250.654412160762</v>
      </c>
      <c r="J203" s="14">
        <f t="shared" si="115"/>
        <v>18139.39636468629</v>
      </c>
      <c r="K203" s="14">
        <f t="shared" si="115"/>
        <v>18475.378694327934</v>
      </c>
      <c r="L203" s="14">
        <f t="shared" si="115"/>
        <v>18672.516497343277</v>
      </c>
      <c r="M203" s="132">
        <f t="shared" si="115"/>
        <v>18818.399692475235</v>
      </c>
      <c r="N203" s="193">
        <f t="shared" si="115"/>
        <v>18890.937171206286</v>
      </c>
      <c r="O203" s="14">
        <f t="shared" si="115"/>
        <v>19018.029918004388</v>
      </c>
      <c r="P203" s="14">
        <f t="shared" si="115"/>
        <v>19077.181665023898</v>
      </c>
      <c r="Q203" s="14">
        <f t="shared" si="115"/>
        <v>19105.263488299875</v>
      </c>
      <c r="R203" s="14">
        <f t="shared" si="115"/>
        <v>19178.338210879007</v>
      </c>
      <c r="S203" s="14">
        <f t="shared" si="115"/>
        <v>19214.913547504799</v>
      </c>
      <c r="T203" s="14">
        <f t="shared" si="115"/>
        <v>19219.732081485417</v>
      </c>
      <c r="U203" s="14">
        <f t="shared" si="115"/>
        <v>19235.535874367597</v>
      </c>
      <c r="V203" s="14">
        <f t="shared" si="115"/>
        <v>19237.87101500664</v>
      </c>
      <c r="W203" s="14">
        <f t="shared" si="115"/>
        <v>19236.566556831105</v>
      </c>
      <c r="X203" s="187">
        <f t="shared" si="115"/>
        <v>19164.487370000796</v>
      </c>
      <c r="Y203" s="158">
        <f t="shared" si="115"/>
        <v>19131.320220456706</v>
      </c>
      <c r="Z203" s="158">
        <f t="shared" si="115"/>
        <v>19121.924365502702</v>
      </c>
      <c r="AA203" s="158">
        <f t="shared" si="115"/>
        <v>19120.665182882356</v>
      </c>
      <c r="AB203" s="158">
        <f t="shared" si="115"/>
        <v>19137.932817565888</v>
      </c>
      <c r="AC203" s="158">
        <f t="shared" si="115"/>
        <v>19147.755733017439</v>
      </c>
      <c r="AD203" s="158">
        <f t="shared" si="115"/>
        <v>19152.890673657988</v>
      </c>
      <c r="AE203" s="158">
        <f t="shared" si="115"/>
        <v>19149.624775166762</v>
      </c>
      <c r="AF203" s="158">
        <f t="shared" si="115"/>
        <v>19143.845754773087</v>
      </c>
      <c r="AG203" s="158">
        <f t="shared" si="115"/>
        <v>19146.717890809399</v>
      </c>
      <c r="AH203" s="187">
        <f t="shared" si="115"/>
        <v>19154.968631627227</v>
      </c>
    </row>
    <row r="204" spans="1:34">
      <c r="A204" s="1" t="s">
        <v>448</v>
      </c>
      <c r="C204" s="331"/>
      <c r="D204" s="331">
        <f>D194+D197</f>
        <v>692.89427999999998</v>
      </c>
      <c r="E204" s="331">
        <f t="shared" ref="E204:AH204" si="116">E194+E197</f>
        <v>1598.0752005909692</v>
      </c>
      <c r="F204" s="331">
        <f t="shared" si="116"/>
        <v>1654.2662015446699</v>
      </c>
      <c r="G204" s="331">
        <f t="shared" si="116"/>
        <v>1963.1673670375774</v>
      </c>
      <c r="H204" s="402">
        <f t="shared" si="116"/>
        <v>2008.2217872852564</v>
      </c>
      <c r="I204" s="14">
        <f t="shared" si="116"/>
        <v>2056.5467879807888</v>
      </c>
      <c r="J204" s="14">
        <f t="shared" si="116"/>
        <v>2077.1725982168191</v>
      </c>
      <c r="K204" s="14">
        <f t="shared" si="116"/>
        <v>2146.4601108905354</v>
      </c>
      <c r="L204" s="14">
        <f t="shared" si="116"/>
        <v>2146.4966065572225</v>
      </c>
      <c r="M204" s="14">
        <f t="shared" si="116"/>
        <v>2146.3568555884917</v>
      </c>
      <c r="N204" s="187">
        <f t="shared" si="116"/>
        <v>2146.8733483621604</v>
      </c>
      <c r="O204" s="14">
        <f t="shared" si="116"/>
        <v>2156.1718782012636</v>
      </c>
      <c r="P204" s="14">
        <f t="shared" si="116"/>
        <v>2156.3816147138195</v>
      </c>
      <c r="Q204" s="14">
        <f t="shared" si="116"/>
        <v>2188.6912302948249</v>
      </c>
      <c r="R204" s="14">
        <f t="shared" si="116"/>
        <v>2189.5752483093993</v>
      </c>
      <c r="S204" s="14">
        <f t="shared" si="116"/>
        <v>2190.929618537918</v>
      </c>
      <c r="T204" s="14">
        <f t="shared" si="116"/>
        <v>2192.9246886911433</v>
      </c>
      <c r="U204" s="14">
        <f t="shared" si="116"/>
        <v>2195.1111477828431</v>
      </c>
      <c r="V204" s="14">
        <f t="shared" si="116"/>
        <v>2202.4117286057835</v>
      </c>
      <c r="W204" s="14">
        <f t="shared" si="116"/>
        <v>2204.6625439986151</v>
      </c>
      <c r="X204" s="187">
        <f t="shared" si="116"/>
        <v>2210.6792911553375</v>
      </c>
      <c r="Y204" s="158">
        <f t="shared" si="116"/>
        <v>2222.6958513457016</v>
      </c>
      <c r="Z204" s="158">
        <f t="shared" si="116"/>
        <v>2233.391444033</v>
      </c>
      <c r="AA204" s="158">
        <f t="shared" si="116"/>
        <v>2237.3064150269311</v>
      </c>
      <c r="AB204" s="158">
        <f t="shared" si="116"/>
        <v>2255.5038823018422</v>
      </c>
      <c r="AC204" s="158">
        <f t="shared" si="116"/>
        <v>2270.3717897737233</v>
      </c>
      <c r="AD204" s="158">
        <f t="shared" si="116"/>
        <v>2277.4222841178425</v>
      </c>
      <c r="AE204" s="158">
        <f t="shared" si="116"/>
        <v>2285.63631848863</v>
      </c>
      <c r="AF204" s="158">
        <f t="shared" si="116"/>
        <v>2291.8206319687179</v>
      </c>
      <c r="AG204" s="158">
        <f t="shared" si="116"/>
        <v>2304.3429908626113</v>
      </c>
      <c r="AH204" s="187">
        <f t="shared" si="116"/>
        <v>2321.8388408792111</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453</v>
      </c>
      <c r="C206" s="331"/>
      <c r="D206" s="331">
        <f>D194</f>
        <v>303.30213000000003</v>
      </c>
      <c r="E206" s="331">
        <f>D206+E194</f>
        <v>1315.9775934195939</v>
      </c>
      <c r="F206" s="331">
        <f>E206+F194</f>
        <v>2510.9669374776631</v>
      </c>
      <c r="G206" s="331">
        <f>F206+G194</f>
        <v>3884.4662083483072</v>
      </c>
      <c r="H206" s="402">
        <f t="shared" ref="H206:X206" si="117">G206+H194</f>
        <v>5261.261243808276</v>
      </c>
      <c r="I206" s="14">
        <f t="shared" si="117"/>
        <v>6647.5987693839888</v>
      </c>
      <c r="J206" s="14">
        <f t="shared" si="117"/>
        <v>8042.701035774433</v>
      </c>
      <c r="K206" s="14">
        <f t="shared" si="117"/>
        <v>9437.8509772055841</v>
      </c>
      <c r="L206" s="14">
        <f t="shared" si="117"/>
        <v>10833.037414303421</v>
      </c>
      <c r="M206" s="14">
        <f t="shared" si="117"/>
        <v>12228.084100432527</v>
      </c>
      <c r="N206" s="187">
        <f t="shared" si="117"/>
        <v>13623.647338939265</v>
      </c>
      <c r="O206" s="14">
        <f t="shared" si="117"/>
        <v>15019.384098179566</v>
      </c>
      <c r="P206" s="14">
        <f t="shared" si="117"/>
        <v>16415.33059393242</v>
      </c>
      <c r="Q206" s="14">
        <f t="shared" si="117"/>
        <v>17811.624139732445</v>
      </c>
      <c r="R206" s="14">
        <f t="shared" si="117"/>
        <v>19208.801703547044</v>
      </c>
      <c r="S206" s="14">
        <f t="shared" si="117"/>
        <v>20607.333637590164</v>
      </c>
      <c r="T206" s="14">
        <f t="shared" si="117"/>
        <v>22007.860641786508</v>
      </c>
      <c r="U206" s="14">
        <f t="shared" si="117"/>
        <v>23410.574105074553</v>
      </c>
      <c r="V206" s="14">
        <f t="shared" si="117"/>
        <v>24815.464592529417</v>
      </c>
      <c r="W206" s="14">
        <f t="shared" si="117"/>
        <v>26222.60589537711</v>
      </c>
      <c r="X206" s="187">
        <f t="shared" si="117"/>
        <v>27632.429640089529</v>
      </c>
      <c r="Y206" s="158">
        <f t="shared" ref="Y206:AH206" si="118">X206+Y194</f>
        <v>29044.403224171685</v>
      </c>
      <c r="Z206" s="158">
        <f t="shared" si="118"/>
        <v>30458.450747302802</v>
      </c>
      <c r="AA206" s="158">
        <f t="shared" si="118"/>
        <v>31876.413241427854</v>
      </c>
      <c r="AB206" s="158">
        <f t="shared" si="118"/>
        <v>33300.793015984251</v>
      </c>
      <c r="AC206" s="158">
        <f t="shared" si="118"/>
        <v>34729.57132152241</v>
      </c>
      <c r="AD206" s="158">
        <f t="shared" si="118"/>
        <v>36161.120616468055</v>
      </c>
      <c r="AE206" s="158">
        <f t="shared" si="118"/>
        <v>37600.883945784488</v>
      </c>
      <c r="AF206" s="158">
        <f t="shared" si="118"/>
        <v>39046.831588581008</v>
      </c>
      <c r="AG206" s="158">
        <f t="shared" si="118"/>
        <v>40505.301590271418</v>
      </c>
      <c r="AH206" s="187">
        <f t="shared" si="118"/>
        <v>41981.267441978431</v>
      </c>
    </row>
    <row r="207" spans="1:34">
      <c r="A207" s="1" t="s">
        <v>456</v>
      </c>
      <c r="C207" s="331"/>
      <c r="D207" s="331">
        <f>D200</f>
        <v>16362.192000000001</v>
      </c>
      <c r="E207" s="331">
        <f>D207+E200</f>
        <v>33345.836766678869</v>
      </c>
      <c r="F207" s="331">
        <f>E207+F200</f>
        <v>47772.27651050975</v>
      </c>
      <c r="G207" s="331">
        <f t="shared" ref="G207:X207" si="119">F207+G200</f>
        <v>64337.014426944414</v>
      </c>
      <c r="H207" s="402">
        <f t="shared" si="119"/>
        <v>80887.722020749701</v>
      </c>
      <c r="I207" s="14">
        <f t="shared" si="119"/>
        <v>97081.829644929676</v>
      </c>
      <c r="J207" s="14">
        <f t="shared" si="119"/>
        <v>113144.05341139915</v>
      </c>
      <c r="K207" s="14">
        <f t="shared" si="119"/>
        <v>129472.97199483655</v>
      </c>
      <c r="L207" s="14">
        <f t="shared" si="119"/>
        <v>145998.99188562261</v>
      </c>
      <c r="M207" s="14">
        <f t="shared" si="119"/>
        <v>162671.03472250936</v>
      </c>
      <c r="N207" s="187">
        <f t="shared" si="119"/>
        <v>179415.09854535348</v>
      </c>
      <c r="O207" s="14">
        <f t="shared" si="119"/>
        <v>196276.95658515661</v>
      </c>
      <c r="P207" s="14">
        <f t="shared" si="119"/>
        <v>213197.75663546671</v>
      </c>
      <c r="Q207" s="14">
        <f t="shared" si="119"/>
        <v>230114.32889347174</v>
      </c>
      <c r="R207" s="14">
        <f t="shared" si="119"/>
        <v>247103.09185604134</v>
      </c>
      <c r="S207" s="14">
        <f t="shared" si="119"/>
        <v>264127.0757850082</v>
      </c>
      <c r="T207" s="14">
        <f t="shared" si="119"/>
        <v>281153.88317780249</v>
      </c>
      <c r="U207" s="14">
        <f t="shared" si="119"/>
        <v>298194.30790438724</v>
      </c>
      <c r="V207" s="14">
        <f t="shared" si="119"/>
        <v>315229.76719078812</v>
      </c>
      <c r="W207" s="14">
        <f t="shared" si="119"/>
        <v>332261.67120362062</v>
      </c>
      <c r="X207" s="187">
        <f t="shared" si="119"/>
        <v>349215.47928246605</v>
      </c>
      <c r="Y207" s="158">
        <f t="shared" ref="Y207:AH207" si="120">X207+Y200</f>
        <v>366124.10365157708</v>
      </c>
      <c r="Z207" s="158">
        <f t="shared" si="120"/>
        <v>383012.6365730468</v>
      </c>
      <c r="AA207" s="158">
        <f t="shared" si="120"/>
        <v>399895.99534090224</v>
      </c>
      <c r="AB207" s="158">
        <f t="shared" si="120"/>
        <v>416778.4242761663</v>
      </c>
      <c r="AC207" s="158">
        <f t="shared" si="120"/>
        <v>433655.80821941001</v>
      </c>
      <c r="AD207" s="158">
        <f t="shared" si="120"/>
        <v>450531.27660895017</v>
      </c>
      <c r="AE207" s="158">
        <f t="shared" si="120"/>
        <v>467395.26506562828</v>
      </c>
      <c r="AF207" s="158">
        <f t="shared" si="120"/>
        <v>484247.29018843267</v>
      </c>
      <c r="AG207" s="158">
        <f t="shared" si="120"/>
        <v>501089.66508837946</v>
      </c>
      <c r="AH207" s="187">
        <f t="shared" si="120"/>
        <v>517922.79487912747</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412</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409</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1">
        <f>SUM(C214:C215)</f>
        <v>240.06986000000001</v>
      </c>
      <c r="D213" s="341">
        <f t="shared" ref="D213:AH213" si="124">SUM(D214:D215)</f>
        <v>345.76358061259964</v>
      </c>
      <c r="E213" s="341">
        <f t="shared" si="124"/>
        <v>1013.9703134651494</v>
      </c>
      <c r="F213" s="341">
        <f t="shared" si="124"/>
        <v>1196.8994192420678</v>
      </c>
      <c r="G213" s="341">
        <f t="shared" si="124"/>
        <v>1377.2601071467134</v>
      </c>
      <c r="H213" s="405">
        <f t="shared" si="124"/>
        <v>1376.7947654599689</v>
      </c>
      <c r="I213" s="15">
        <f t="shared" si="124"/>
        <v>1705.1295396449705</v>
      </c>
      <c r="J213" s="15">
        <f t="shared" si="124"/>
        <v>2136.007393505286</v>
      </c>
      <c r="K213" s="15">
        <f t="shared" si="124"/>
        <v>2742.8582178188326</v>
      </c>
      <c r="L213" s="15">
        <f t="shared" si="124"/>
        <v>3497.6488281026418</v>
      </c>
      <c r="M213" s="15">
        <f t="shared" si="124"/>
        <v>4447.118759189907</v>
      </c>
      <c r="N213" s="190">
        <f t="shared" si="124"/>
        <v>5631.3285662494418</v>
      </c>
      <c r="O213" s="15">
        <f t="shared" si="124"/>
        <v>5797.8388222105714</v>
      </c>
      <c r="P213" s="15">
        <f t="shared" si="124"/>
        <v>5947.7984763979712</v>
      </c>
      <c r="Q213" s="15">
        <f t="shared" si="124"/>
        <v>6088.4409151004875</v>
      </c>
      <c r="R213" s="15">
        <f t="shared" si="124"/>
        <v>6250.3840225784325</v>
      </c>
      <c r="S213" s="15">
        <f t="shared" si="124"/>
        <v>6403.8744485474481</v>
      </c>
      <c r="T213" s="15">
        <f t="shared" si="124"/>
        <v>6549.7998420481972</v>
      </c>
      <c r="U213" s="15">
        <f t="shared" si="124"/>
        <v>6703.0090040123678</v>
      </c>
      <c r="V213" s="15">
        <f t="shared" si="124"/>
        <v>6854.3181519741647</v>
      </c>
      <c r="W213" s="15">
        <f t="shared" si="124"/>
        <v>7008.1940949040145</v>
      </c>
      <c r="X213" s="190">
        <f t="shared" si="124"/>
        <v>7137.8048631621732</v>
      </c>
      <c r="Y213" s="130">
        <f t="shared" si="124"/>
        <v>7178.666172872574</v>
      </c>
      <c r="Z213" s="130">
        <f t="shared" si="124"/>
        <v>7229.2271234789805</v>
      </c>
      <c r="AA213" s="130">
        <f t="shared" si="124"/>
        <v>7284.0349150982811</v>
      </c>
      <c r="AB213" s="130">
        <f t="shared" si="124"/>
        <v>7345.0470425283338</v>
      </c>
      <c r="AC213" s="130">
        <f t="shared" si="124"/>
        <v>7403.9874335410686</v>
      </c>
      <c r="AD213" s="130">
        <f t="shared" si="124"/>
        <v>7462.4045407094809</v>
      </c>
      <c r="AE213" s="130">
        <f t="shared" si="124"/>
        <v>7517.5407373461712</v>
      </c>
      <c r="AF213" s="130">
        <f t="shared" si="124"/>
        <v>7572.3422603863419</v>
      </c>
      <c r="AG213" s="130">
        <f t="shared" si="124"/>
        <v>7630.2098550808205</v>
      </c>
      <c r="AH213" s="190">
        <f t="shared" si="124"/>
        <v>7690.0185097614813</v>
      </c>
    </row>
    <row r="214" spans="1:34">
      <c r="A214" t="s">
        <v>398</v>
      </c>
      <c r="C214" s="331">
        <f>C115</f>
        <v>126.35270000000001</v>
      </c>
      <c r="D214" s="331">
        <f t="shared" ref="D214:AH214" si="125">D115</f>
        <v>181.98103600812439</v>
      </c>
      <c r="E214" s="331">
        <f t="shared" si="125"/>
        <v>533.66886155655243</v>
      </c>
      <c r="F214" s="331">
        <f t="shared" si="125"/>
        <v>629.94736080497853</v>
      </c>
      <c r="G214" s="331">
        <f t="shared" si="125"/>
        <v>724.87417206394491</v>
      </c>
      <c r="H214" s="402">
        <f t="shared" si="125"/>
        <v>724.62896603156264</v>
      </c>
      <c r="I214" s="14">
        <f t="shared" si="125"/>
        <v>897.43677541633247</v>
      </c>
      <c r="J214" s="14">
        <f t="shared" si="125"/>
        <v>1124.2146371210772</v>
      </c>
      <c r="K214" s="14">
        <f t="shared" si="125"/>
        <v>1443.6098695381363</v>
      </c>
      <c r="L214" s="14">
        <f t="shared" si="125"/>
        <v>1840.8681620532777</v>
      </c>
      <c r="M214" s="14">
        <f t="shared" si="125"/>
        <v>2340.589274505146</v>
      </c>
      <c r="N214" s="182">
        <f t="shared" si="125"/>
        <v>2963.8577135496448</v>
      </c>
      <c r="O214" s="14">
        <f t="shared" si="125"/>
        <v>3051.4947073264448</v>
      </c>
      <c r="P214" s="14">
        <f t="shared" si="125"/>
        <v>3130.4208563791508</v>
      </c>
      <c r="Q214" s="14">
        <f t="shared" si="125"/>
        <v>3204.4432068594933</v>
      </c>
      <c r="R214" s="14">
        <f t="shared" si="125"/>
        <v>3289.6764378116663</v>
      </c>
      <c r="S214" s="14">
        <f t="shared" si="125"/>
        <v>3370.4608881615904</v>
      </c>
      <c r="T214" s="14">
        <f t="shared" si="125"/>
        <v>3447.2637417052642</v>
      </c>
      <c r="U214" s="14">
        <f t="shared" si="125"/>
        <v>3527.900158339788</v>
      </c>
      <c r="V214" s="14">
        <f t="shared" si="125"/>
        <v>3607.5365674111695</v>
      </c>
      <c r="W214" s="14">
        <f t="shared" si="125"/>
        <v>3688.523921463946</v>
      </c>
      <c r="X214" s="187">
        <f t="shared" si="125"/>
        <v>3756.7401284818379</v>
      </c>
      <c r="Y214" s="158">
        <f t="shared" si="125"/>
        <v>3778.2460851217597</v>
      </c>
      <c r="Z214" s="158">
        <f t="shared" si="125"/>
        <v>3804.8571169051538</v>
      </c>
      <c r="AA214" s="158">
        <f t="shared" si="125"/>
        <v>3833.7033286014598</v>
      </c>
      <c r="AB214" s="158">
        <f t="shared" si="125"/>
        <v>3865.8149808299272</v>
      </c>
      <c r="AC214" s="158">
        <f t="shared" si="125"/>
        <v>3896.8362452593747</v>
      </c>
      <c r="AD214" s="158">
        <f t="shared" si="125"/>
        <v>3927.5820970858945</v>
      </c>
      <c r="AE214" s="158">
        <f t="shared" si="125"/>
        <v>3956.6011535616353</v>
      </c>
      <c r="AF214" s="158">
        <f t="shared" si="125"/>
        <v>3985.4440660051296</v>
      </c>
      <c r="AG214" s="158">
        <f t="shared" si="125"/>
        <v>4015.9007006841503</v>
      </c>
      <c r="AH214" s="187">
        <f t="shared" si="125"/>
        <v>4047.3789460798662</v>
      </c>
    </row>
    <row r="215" spans="1:34">
      <c r="A215" t="s">
        <v>399</v>
      </c>
      <c r="C215" s="331">
        <f>C142</f>
        <v>113.71716000000001</v>
      </c>
      <c r="D215" s="331">
        <f t="shared" ref="D215:AH215" si="126">D142</f>
        <v>163.78254460447528</v>
      </c>
      <c r="E215" s="331">
        <f t="shared" si="126"/>
        <v>480.30145190859696</v>
      </c>
      <c r="F215" s="331">
        <f t="shared" si="126"/>
        <v>566.95205843708925</v>
      </c>
      <c r="G215" s="331">
        <f t="shared" si="126"/>
        <v>652.38593508276836</v>
      </c>
      <c r="H215" s="402">
        <f t="shared" si="126"/>
        <v>652.16579942840633</v>
      </c>
      <c r="I215" s="14">
        <f t="shared" si="126"/>
        <v>807.692764228638</v>
      </c>
      <c r="J215" s="14">
        <f t="shared" si="126"/>
        <v>1011.792756384209</v>
      </c>
      <c r="K215" s="14">
        <f t="shared" si="126"/>
        <v>1299.2483482806961</v>
      </c>
      <c r="L215" s="14">
        <f t="shared" si="126"/>
        <v>1656.7806660493641</v>
      </c>
      <c r="M215" s="14">
        <f t="shared" si="126"/>
        <v>2106.5294846847614</v>
      </c>
      <c r="N215" s="182">
        <f t="shared" si="126"/>
        <v>2667.4708526997974</v>
      </c>
      <c r="O215" s="14">
        <f t="shared" si="126"/>
        <v>2746.3441148841266</v>
      </c>
      <c r="P215" s="14">
        <f t="shared" si="126"/>
        <v>2817.3776200188208</v>
      </c>
      <c r="Q215" s="14">
        <f t="shared" si="126"/>
        <v>2883.9977082409937</v>
      </c>
      <c r="R215" s="14">
        <f t="shared" si="126"/>
        <v>2960.7075847667661</v>
      </c>
      <c r="S215" s="14">
        <f t="shared" si="126"/>
        <v>3033.4135603858576</v>
      </c>
      <c r="T215" s="14">
        <f t="shared" si="126"/>
        <v>3102.536100342933</v>
      </c>
      <c r="U215" s="14">
        <f t="shared" si="126"/>
        <v>3175.1088456725797</v>
      </c>
      <c r="V215" s="14">
        <f t="shared" si="126"/>
        <v>3246.7815845629957</v>
      </c>
      <c r="W215" s="14">
        <f t="shared" si="126"/>
        <v>3319.6701734400681</v>
      </c>
      <c r="X215" s="187">
        <f t="shared" si="126"/>
        <v>3381.0647346803353</v>
      </c>
      <c r="Y215" s="158">
        <f t="shared" si="126"/>
        <v>3400.4200877508147</v>
      </c>
      <c r="Z215" s="158">
        <f t="shared" si="126"/>
        <v>3424.3700065738267</v>
      </c>
      <c r="AA215" s="158">
        <f t="shared" si="126"/>
        <v>3450.3315864968213</v>
      </c>
      <c r="AB215" s="158">
        <f t="shared" si="126"/>
        <v>3479.2320616984066</v>
      </c>
      <c r="AC215" s="158">
        <f t="shared" si="126"/>
        <v>3507.151188281694</v>
      </c>
      <c r="AD215" s="158">
        <f t="shared" si="126"/>
        <v>3534.8224436235864</v>
      </c>
      <c r="AE215" s="158">
        <f t="shared" si="126"/>
        <v>3560.9395837845359</v>
      </c>
      <c r="AF215" s="158">
        <f t="shared" si="126"/>
        <v>3586.8981943812128</v>
      </c>
      <c r="AG215" s="158">
        <f t="shared" si="126"/>
        <v>3614.3091543966702</v>
      </c>
      <c r="AH215" s="187">
        <f t="shared" si="126"/>
        <v>3642.6395636816155</v>
      </c>
    </row>
    <row r="216" spans="1:34">
      <c r="A216" t="s">
        <v>400</v>
      </c>
      <c r="C216" s="331">
        <f>SUM(C217:C218)</f>
        <v>469.10714999999993</v>
      </c>
      <c r="D216" s="331">
        <f t="shared" ref="D216:AH216" si="127">SUM(D217:D218)</f>
        <v>550.04767741824844</v>
      </c>
      <c r="E216" s="331">
        <f t="shared" si="127"/>
        <v>605.7238661162279</v>
      </c>
      <c r="F216" s="331">
        <f t="shared" si="127"/>
        <v>534.17788772477456</v>
      </c>
      <c r="G216" s="331">
        <f t="shared" si="127"/>
        <v>630.01697035794336</v>
      </c>
      <c r="H216" s="402">
        <f t="shared" si="127"/>
        <v>631.42675182528751</v>
      </c>
      <c r="I216" s="14">
        <f t="shared" si="127"/>
        <v>637.71482949832966</v>
      </c>
      <c r="J216" s="14">
        <f t="shared" si="127"/>
        <v>650.95538780093125</v>
      </c>
      <c r="K216" s="14">
        <f t="shared" si="127"/>
        <v>680.63081479335119</v>
      </c>
      <c r="L216" s="14">
        <f t="shared" si="127"/>
        <v>706.21894770243966</v>
      </c>
      <c r="M216" s="14">
        <f t="shared" si="127"/>
        <v>730.13788778787261</v>
      </c>
      <c r="N216" s="190">
        <f t="shared" si="127"/>
        <v>751.31010985542275</v>
      </c>
      <c r="O216" s="14">
        <f t="shared" si="127"/>
        <v>760.32982153002081</v>
      </c>
      <c r="P216" s="14">
        <f t="shared" si="127"/>
        <v>766.66983825430725</v>
      </c>
      <c r="Q216" s="14">
        <f t="shared" si="127"/>
        <v>771.37100993605941</v>
      </c>
      <c r="R216" s="14">
        <f t="shared" si="127"/>
        <v>778.31957601148702</v>
      </c>
      <c r="S216" s="15">
        <f t="shared" si="127"/>
        <v>783.74928654840096</v>
      </c>
      <c r="T216" s="14">
        <f t="shared" si="127"/>
        <v>787.8338664606913</v>
      </c>
      <c r="U216" s="14">
        <f t="shared" si="127"/>
        <v>792.38813828398702</v>
      </c>
      <c r="V216" s="14">
        <f t="shared" si="127"/>
        <v>796.31216627628089</v>
      </c>
      <c r="W216" s="14">
        <f t="shared" si="127"/>
        <v>800.13935268351577</v>
      </c>
      <c r="X216" s="187">
        <f t="shared" si="127"/>
        <v>800.85554644291869</v>
      </c>
      <c r="Y216" s="158">
        <f t="shared" si="127"/>
        <v>803.96449571304038</v>
      </c>
      <c r="Z216" s="158">
        <f t="shared" si="127"/>
        <v>808.11606120058491</v>
      </c>
      <c r="AA216" s="158">
        <f t="shared" si="127"/>
        <v>812.69573095681699</v>
      </c>
      <c r="AB216" s="158">
        <f t="shared" si="127"/>
        <v>817.918694015028</v>
      </c>
      <c r="AC216" s="158">
        <f t="shared" si="127"/>
        <v>822.86101585612573</v>
      </c>
      <c r="AD216" s="158">
        <f t="shared" si="127"/>
        <v>827.6956962161596</v>
      </c>
      <c r="AE216" s="158">
        <f t="shared" si="127"/>
        <v>832.11774737216319</v>
      </c>
      <c r="AF216" s="158">
        <f t="shared" si="127"/>
        <v>836.4547777815344</v>
      </c>
      <c r="AG216" s="158">
        <f t="shared" si="127"/>
        <v>841.0818380297643</v>
      </c>
      <c r="AH216" s="187">
        <f t="shared" si="127"/>
        <v>845.87298917219869</v>
      </c>
    </row>
    <row r="217" spans="1:34">
      <c r="A217" t="s">
        <v>401</v>
      </c>
      <c r="C217" s="331">
        <f>C114</f>
        <v>246.89849999999998</v>
      </c>
      <c r="D217" s="331">
        <f t="shared" ref="D217:AH217" si="128">D114</f>
        <v>289.49877758855177</v>
      </c>
      <c r="E217" s="331">
        <f t="shared" si="128"/>
        <v>318.80203479801469</v>
      </c>
      <c r="F217" s="331">
        <f t="shared" si="128"/>
        <v>281.14625669724978</v>
      </c>
      <c r="G217" s="331">
        <f t="shared" si="128"/>
        <v>331.58787913575969</v>
      </c>
      <c r="H217" s="402">
        <f t="shared" si="128"/>
        <v>332.32986938173025</v>
      </c>
      <c r="I217" s="14">
        <f t="shared" si="128"/>
        <v>335.63938394648932</v>
      </c>
      <c r="J217" s="14">
        <f t="shared" si="128"/>
        <v>342.60809884259538</v>
      </c>
      <c r="K217" s="14">
        <f t="shared" si="128"/>
        <v>358.22674462807953</v>
      </c>
      <c r="L217" s="14">
        <f t="shared" si="128"/>
        <v>371.69418300128405</v>
      </c>
      <c r="M217" s="14">
        <f t="shared" si="128"/>
        <v>384.28309883572246</v>
      </c>
      <c r="N217" s="187">
        <f t="shared" si="128"/>
        <v>395.42637360811722</v>
      </c>
      <c r="O217" s="14">
        <f t="shared" si="128"/>
        <v>400.17359027895827</v>
      </c>
      <c r="P217" s="14">
        <f t="shared" si="128"/>
        <v>403.51044118647752</v>
      </c>
      <c r="Q217" s="14">
        <f t="shared" si="128"/>
        <v>405.98474207161024</v>
      </c>
      <c r="R217" s="14">
        <f t="shared" si="128"/>
        <v>409.64188211130892</v>
      </c>
      <c r="S217" s="14">
        <f t="shared" si="128"/>
        <v>412.49962449915836</v>
      </c>
      <c r="T217" s="14">
        <f t="shared" si="128"/>
        <v>414.64940340036384</v>
      </c>
      <c r="U217" s="14">
        <f t="shared" si="128"/>
        <v>417.04638857051947</v>
      </c>
      <c r="V217" s="14">
        <f t="shared" si="128"/>
        <v>419.11166646120046</v>
      </c>
      <c r="W217" s="14">
        <f t="shared" si="128"/>
        <v>421.12597509658724</v>
      </c>
      <c r="X217" s="187">
        <f t="shared" si="128"/>
        <v>421.5029191804835</v>
      </c>
      <c r="Y217" s="158">
        <f t="shared" si="128"/>
        <v>423.13920827002124</v>
      </c>
      <c r="Z217" s="158">
        <f t="shared" si="128"/>
        <v>425.32424273714997</v>
      </c>
      <c r="AA217" s="158">
        <f t="shared" si="128"/>
        <v>427.73459524043</v>
      </c>
      <c r="AB217" s="158">
        <f t="shared" si="128"/>
        <v>430.48352316580417</v>
      </c>
      <c r="AC217" s="158">
        <f t="shared" si="128"/>
        <v>433.08474518743458</v>
      </c>
      <c r="AD217" s="158">
        <f t="shared" si="128"/>
        <v>435.62931379797874</v>
      </c>
      <c r="AE217" s="158">
        <f t="shared" si="128"/>
        <v>437.95670914324381</v>
      </c>
      <c r="AF217" s="158">
        <f t="shared" si="128"/>
        <v>440.23935672712338</v>
      </c>
      <c r="AG217" s="158">
        <f t="shared" si="128"/>
        <v>442.67465159461278</v>
      </c>
      <c r="AH217" s="187">
        <f t="shared" si="128"/>
        <v>445.1963100906309</v>
      </c>
    </row>
    <row r="218" spans="1:34">
      <c r="A218" t="s">
        <v>402</v>
      </c>
      <c r="C218" s="331">
        <f>C141</f>
        <v>222.20864999999998</v>
      </c>
      <c r="D218" s="331">
        <f t="shared" ref="D218:AH218" si="129">D141</f>
        <v>260.54889982969661</v>
      </c>
      <c r="E218" s="331">
        <f t="shared" si="129"/>
        <v>286.92183131821321</v>
      </c>
      <c r="F218" s="331">
        <f t="shared" si="129"/>
        <v>253.03163102752481</v>
      </c>
      <c r="G218" s="331">
        <f t="shared" si="129"/>
        <v>298.42909122218373</v>
      </c>
      <c r="H218" s="402">
        <f t="shared" si="129"/>
        <v>299.09688244355721</v>
      </c>
      <c r="I218" s="14">
        <f t="shared" si="129"/>
        <v>302.0754455518404</v>
      </c>
      <c r="J218" s="14">
        <f t="shared" si="129"/>
        <v>308.34728895833587</v>
      </c>
      <c r="K218" s="14">
        <f t="shared" si="129"/>
        <v>322.40407016527161</v>
      </c>
      <c r="L218" s="14">
        <f t="shared" si="129"/>
        <v>334.52476470115568</v>
      </c>
      <c r="M218" s="14">
        <f t="shared" si="129"/>
        <v>345.85478895215022</v>
      </c>
      <c r="N218" s="187">
        <f t="shared" si="129"/>
        <v>355.88373624730548</v>
      </c>
      <c r="O218" s="14">
        <f t="shared" si="129"/>
        <v>360.15623125106248</v>
      </c>
      <c r="P218" s="14">
        <f t="shared" si="129"/>
        <v>363.15939706782979</v>
      </c>
      <c r="Q218" s="14">
        <f t="shared" si="129"/>
        <v>365.38626786444922</v>
      </c>
      <c r="R218" s="14">
        <f t="shared" si="129"/>
        <v>368.67769390017804</v>
      </c>
      <c r="S218" s="14">
        <f t="shared" si="129"/>
        <v>371.24966204924254</v>
      </c>
      <c r="T218" s="14">
        <f t="shared" si="129"/>
        <v>373.18446306032746</v>
      </c>
      <c r="U218" s="14">
        <f t="shared" si="129"/>
        <v>375.34174971346755</v>
      </c>
      <c r="V218" s="14">
        <f t="shared" si="129"/>
        <v>377.20049981508043</v>
      </c>
      <c r="W218" s="14">
        <f t="shared" si="129"/>
        <v>379.01337758692853</v>
      </c>
      <c r="X218" s="187">
        <f t="shared" si="129"/>
        <v>379.35262726243513</v>
      </c>
      <c r="Y218" s="158">
        <f t="shared" si="129"/>
        <v>380.82528744301914</v>
      </c>
      <c r="Z218" s="158">
        <f t="shared" si="129"/>
        <v>382.79181846343499</v>
      </c>
      <c r="AA218" s="158">
        <f t="shared" si="129"/>
        <v>384.96113571638699</v>
      </c>
      <c r="AB218" s="158">
        <f t="shared" si="129"/>
        <v>387.43517084922377</v>
      </c>
      <c r="AC218" s="158">
        <f t="shared" si="129"/>
        <v>389.77627066869115</v>
      </c>
      <c r="AD218" s="158">
        <f t="shared" si="129"/>
        <v>392.06638241818086</v>
      </c>
      <c r="AE218" s="158">
        <f t="shared" si="129"/>
        <v>394.16103822891944</v>
      </c>
      <c r="AF218" s="158">
        <f t="shared" si="129"/>
        <v>396.21542105441102</v>
      </c>
      <c r="AG218" s="158">
        <f t="shared" si="129"/>
        <v>398.40718643515152</v>
      </c>
      <c r="AH218" s="187">
        <f t="shared" si="129"/>
        <v>400.67667908156784</v>
      </c>
    </row>
    <row r="219" spans="1:34" s="1" customFormat="1">
      <c r="A219" s="1" t="s">
        <v>394</v>
      </c>
      <c r="B219" s="13"/>
      <c r="C219" s="341">
        <f>SUM(C220:C221)</f>
        <v>14251.291999999998</v>
      </c>
      <c r="D219" s="341">
        <f t="shared" ref="D219:AH219" si="130">SUM(D220:D221)</f>
        <v>16217.353104071108</v>
      </c>
      <c r="E219" s="341">
        <f t="shared" si="130"/>
        <v>16968.056167090384</v>
      </c>
      <c r="F219" s="341">
        <f t="shared" si="130"/>
        <v>14370.505894738031</v>
      </c>
      <c r="G219" s="341">
        <f t="shared" si="130"/>
        <v>16533.173296667206</v>
      </c>
      <c r="H219" s="405">
        <f t="shared" si="130"/>
        <v>16550.492323805272</v>
      </c>
      <c r="I219" s="15">
        <f t="shared" si="130"/>
        <v>16011.244897099969</v>
      </c>
      <c r="J219" s="15">
        <f t="shared" si="130"/>
        <v>15605.021127292843</v>
      </c>
      <c r="K219" s="15">
        <f t="shared" si="130"/>
        <v>15507.896735207976</v>
      </c>
      <c r="L219" s="15">
        <f t="shared" si="130"/>
        <v>15197.678209728407</v>
      </c>
      <c r="M219" s="15">
        <f t="shared" si="130"/>
        <v>14711.579216189803</v>
      </c>
      <c r="N219" s="190">
        <f t="shared" si="130"/>
        <v>14002.071677942899</v>
      </c>
      <c r="O219" s="15">
        <f t="shared" si="130"/>
        <v>14012.111519630747</v>
      </c>
      <c r="P219" s="15">
        <f t="shared" si="130"/>
        <v>13969.30185230471</v>
      </c>
      <c r="Q219" s="15">
        <f t="shared" si="130"/>
        <v>13894.067523645597</v>
      </c>
      <c r="R219" s="15">
        <f t="shared" si="130"/>
        <v>13856.748120219643</v>
      </c>
      <c r="S219" s="15">
        <f t="shared" si="130"/>
        <v>13789.336260707645</v>
      </c>
      <c r="T219" s="15">
        <f t="shared" si="130"/>
        <v>13695.831137788879</v>
      </c>
      <c r="U219" s="15">
        <f t="shared" si="130"/>
        <v>13608.188535701351</v>
      </c>
      <c r="V219" s="15">
        <f t="shared" si="130"/>
        <v>13507.403379625965</v>
      </c>
      <c r="W219" s="15">
        <f t="shared" si="130"/>
        <v>13402.729872094962</v>
      </c>
      <c r="X219" s="190">
        <f t="shared" si="130"/>
        <v>13244.208121022015</v>
      </c>
      <c r="Y219" s="130">
        <f t="shared" si="130"/>
        <v>13178.715594909114</v>
      </c>
      <c r="Z219" s="130">
        <f t="shared" si="130"/>
        <v>13130.319116692022</v>
      </c>
      <c r="AA219" s="130">
        <f t="shared" si="130"/>
        <v>13088.649726129137</v>
      </c>
      <c r="AB219" s="130">
        <f t="shared" si="130"/>
        <v>13056.996916585431</v>
      </c>
      <c r="AC219" s="130">
        <f t="shared" si="130"/>
        <v>13020.507926686696</v>
      </c>
      <c r="AD219" s="130">
        <f t="shared" si="130"/>
        <v>12981.974230104397</v>
      </c>
      <c r="AE219" s="130">
        <f t="shared" si="130"/>
        <v>12936.683667131678</v>
      </c>
      <c r="AF219" s="130">
        <f t="shared" si="130"/>
        <v>12889.875233979432</v>
      </c>
      <c r="AG219" s="130">
        <f t="shared" si="130"/>
        <v>12847.28554389831</v>
      </c>
      <c r="AH219" s="190">
        <f t="shared" si="130"/>
        <v>12806.942437784992</v>
      </c>
    </row>
    <row r="220" spans="1:34">
      <c r="A220" t="s">
        <v>403</v>
      </c>
      <c r="C220" s="331">
        <f>SUM(C116:C117)</f>
        <v>7500.6799999999994</v>
      </c>
      <c r="D220" s="331">
        <f t="shared" ref="D220:AH220" si="131">SUM(D116:D117)</f>
        <v>8535.4490021426882</v>
      </c>
      <c r="E220" s="331">
        <f t="shared" si="131"/>
        <v>8930.5558774159927</v>
      </c>
      <c r="F220" s="331">
        <f t="shared" si="131"/>
        <v>7563.424155125279</v>
      </c>
      <c r="G220" s="331">
        <f t="shared" si="131"/>
        <v>8701.6701561406335</v>
      </c>
      <c r="H220" s="402">
        <f t="shared" si="131"/>
        <v>8710.7854335817228</v>
      </c>
      <c r="I220" s="14">
        <f t="shared" si="131"/>
        <v>8426.9709984736674</v>
      </c>
      <c r="J220" s="14">
        <f t="shared" si="131"/>
        <v>8213.1690143646538</v>
      </c>
      <c r="K220" s="14">
        <f t="shared" si="131"/>
        <v>8162.050913267356</v>
      </c>
      <c r="L220" s="14">
        <f t="shared" si="131"/>
        <v>7998.7780051202144</v>
      </c>
      <c r="M220" s="14">
        <f t="shared" si="131"/>
        <v>7742.9364295735804</v>
      </c>
      <c r="N220" s="187">
        <f t="shared" si="131"/>
        <v>7369.5114094436303</v>
      </c>
      <c r="O220" s="14">
        <f t="shared" si="131"/>
        <v>7374.7955366477618</v>
      </c>
      <c r="P220" s="14">
        <f t="shared" si="131"/>
        <v>7352.2641327919528</v>
      </c>
      <c r="Q220" s="14">
        <f t="shared" si="131"/>
        <v>7312.6671177082089</v>
      </c>
      <c r="R220" s="14">
        <f t="shared" si="131"/>
        <v>7293.0253264313915</v>
      </c>
      <c r="S220" s="14">
        <f t="shared" si="131"/>
        <v>7257.5454003724444</v>
      </c>
      <c r="T220" s="14">
        <f t="shared" si="131"/>
        <v>7208.33217778362</v>
      </c>
      <c r="U220" s="14">
        <f t="shared" si="131"/>
        <v>7162.204492474395</v>
      </c>
      <c r="V220" s="14">
        <f t="shared" si="131"/>
        <v>7109.1596734873501</v>
      </c>
      <c r="W220" s="14">
        <f t="shared" si="131"/>
        <v>7054.0683537341902</v>
      </c>
      <c r="X220" s="187">
        <f t="shared" si="131"/>
        <v>6970.6358531694814</v>
      </c>
      <c r="Y220" s="158">
        <f t="shared" si="131"/>
        <v>6936.1661025837439</v>
      </c>
      <c r="Z220" s="158">
        <f t="shared" si="131"/>
        <v>6910.69427194317</v>
      </c>
      <c r="AA220" s="158">
        <f t="shared" si="131"/>
        <v>6888.7630137521774</v>
      </c>
      <c r="AB220" s="158">
        <f t="shared" si="131"/>
        <v>6872.1036403081216</v>
      </c>
      <c r="AC220" s="158">
        <f t="shared" si="131"/>
        <v>6852.8989087824721</v>
      </c>
      <c r="AD220" s="158">
        <f t="shared" si="131"/>
        <v>6832.6180158444195</v>
      </c>
      <c r="AE220" s="158">
        <f t="shared" si="131"/>
        <v>6808.7808774377245</v>
      </c>
      <c r="AF220" s="158">
        <f t="shared" si="131"/>
        <v>6784.1448599891746</v>
      </c>
      <c r="AG220" s="158">
        <f t="shared" si="131"/>
        <v>6761.7292336306891</v>
      </c>
      <c r="AH220" s="187">
        <f t="shared" si="131"/>
        <v>6740.4960198868375</v>
      </c>
    </row>
    <row r="221" spans="1:34">
      <c r="A221" t="s">
        <v>404</v>
      </c>
      <c r="C221" s="331">
        <f>SUM(C143:C144)</f>
        <v>6750.6119999999992</v>
      </c>
      <c r="D221" s="331">
        <f t="shared" ref="D221:AH221" si="132">SUM(D143:D144)</f>
        <v>7681.9041019284195</v>
      </c>
      <c r="E221" s="331">
        <f t="shared" si="132"/>
        <v>8037.5002896743936</v>
      </c>
      <c r="F221" s="331">
        <f t="shared" si="132"/>
        <v>6807.0817396127513</v>
      </c>
      <c r="G221" s="331">
        <f t="shared" si="132"/>
        <v>7831.5031405265709</v>
      </c>
      <c r="H221" s="402">
        <f t="shared" si="132"/>
        <v>7839.7068902235515</v>
      </c>
      <c r="I221" s="14">
        <f t="shared" si="132"/>
        <v>7584.2738986263012</v>
      </c>
      <c r="J221" s="14">
        <f t="shared" si="132"/>
        <v>7391.8521129281889</v>
      </c>
      <c r="K221" s="14">
        <f t="shared" si="132"/>
        <v>7345.8458219406202</v>
      </c>
      <c r="L221" s="14">
        <f t="shared" si="132"/>
        <v>7198.9002046081923</v>
      </c>
      <c r="M221" s="14">
        <f t="shared" si="132"/>
        <v>6968.6427866162221</v>
      </c>
      <c r="N221" s="187">
        <f t="shared" si="132"/>
        <v>6632.5602684992673</v>
      </c>
      <c r="O221" s="14">
        <f t="shared" si="132"/>
        <v>6637.3159829829856</v>
      </c>
      <c r="P221" s="14">
        <f t="shared" si="132"/>
        <v>6617.0377195127576</v>
      </c>
      <c r="Q221" s="14">
        <f t="shared" si="132"/>
        <v>6581.4004059373883</v>
      </c>
      <c r="R221" s="14">
        <f t="shared" si="132"/>
        <v>6563.7227937882526</v>
      </c>
      <c r="S221" s="14">
        <f t="shared" si="132"/>
        <v>6531.7908603351998</v>
      </c>
      <c r="T221" s="14">
        <f t="shared" si="132"/>
        <v>6487.4989600052586</v>
      </c>
      <c r="U221" s="14">
        <f t="shared" si="132"/>
        <v>6445.9840432269557</v>
      </c>
      <c r="V221" s="14">
        <f t="shared" si="132"/>
        <v>6398.2437061386154</v>
      </c>
      <c r="W221" s="14">
        <f t="shared" si="132"/>
        <v>6348.6615183607719</v>
      </c>
      <c r="X221" s="187">
        <f t="shared" si="132"/>
        <v>6273.5722678525335</v>
      </c>
      <c r="Y221" s="158">
        <f t="shared" si="132"/>
        <v>6242.54949232537</v>
      </c>
      <c r="Z221" s="158">
        <f t="shared" si="132"/>
        <v>6219.6248447488524</v>
      </c>
      <c r="AA221" s="158">
        <f t="shared" si="132"/>
        <v>6199.8867123769596</v>
      </c>
      <c r="AB221" s="158">
        <f t="shared" si="132"/>
        <v>6184.8932762773102</v>
      </c>
      <c r="AC221" s="158">
        <f t="shared" si="132"/>
        <v>6167.6090179042249</v>
      </c>
      <c r="AD221" s="158">
        <f t="shared" si="132"/>
        <v>6149.3562142599776</v>
      </c>
      <c r="AE221" s="158">
        <f t="shared" si="132"/>
        <v>6127.9027896939524</v>
      </c>
      <c r="AF221" s="158">
        <f t="shared" si="132"/>
        <v>6105.7303739902572</v>
      </c>
      <c r="AG221" s="158">
        <f t="shared" si="132"/>
        <v>6085.5563102676197</v>
      </c>
      <c r="AH221" s="187">
        <f t="shared" si="132"/>
        <v>6066.4464178981543</v>
      </c>
    </row>
    <row r="222" spans="1:34">
      <c r="A222" s="1" t="s">
        <v>426</v>
      </c>
      <c r="C222" s="331">
        <f>SUM(C210,C213,C216,C219)</f>
        <v>14960.469009999997</v>
      </c>
      <c r="D222" s="331">
        <f t="shared" ref="D222:AH222" si="133">SUM(D210,D213,D216,D219)</f>
        <v>17113.164362101958</v>
      </c>
      <c r="E222" s="331">
        <f t="shared" si="133"/>
        <v>18587.750346671761</v>
      </c>
      <c r="F222" s="331">
        <f t="shared" si="133"/>
        <v>16101.583201704874</v>
      </c>
      <c r="G222" s="331">
        <f t="shared" si="133"/>
        <v>18540.450374171862</v>
      </c>
      <c r="H222" s="402">
        <f t="shared" si="133"/>
        <v>18558.713841090528</v>
      </c>
      <c r="I222" s="14">
        <f t="shared" si="133"/>
        <v>18354.089266243267</v>
      </c>
      <c r="J222" s="14">
        <f t="shared" si="133"/>
        <v>18391.983908599061</v>
      </c>
      <c r="K222" s="14">
        <f t="shared" si="133"/>
        <v>18931.38576782016</v>
      </c>
      <c r="L222" s="14">
        <f t="shared" si="133"/>
        <v>19401.545985533488</v>
      </c>
      <c r="M222" s="14">
        <f t="shared" si="133"/>
        <v>19888.83586316758</v>
      </c>
      <c r="N222" s="187">
        <f t="shared" si="133"/>
        <v>20384.710354047762</v>
      </c>
      <c r="O222" s="14">
        <f t="shared" si="133"/>
        <v>20570.280163371339</v>
      </c>
      <c r="P222" s="14">
        <f t="shared" si="133"/>
        <v>20683.770166956987</v>
      </c>
      <c r="Q222" s="14">
        <f t="shared" si="133"/>
        <v>20753.879448682143</v>
      </c>
      <c r="R222" s="14">
        <f t="shared" si="133"/>
        <v>20885.451718809563</v>
      </c>
      <c r="S222" s="14">
        <f t="shared" si="133"/>
        <v>20976.959995803496</v>
      </c>
      <c r="T222" s="14">
        <f t="shared" si="133"/>
        <v>21033.464846297768</v>
      </c>
      <c r="U222" s="14">
        <f t="shared" si="133"/>
        <v>21103.585677997704</v>
      </c>
      <c r="V222" s="14">
        <f t="shared" si="133"/>
        <v>21158.03369787641</v>
      </c>
      <c r="W222" s="14">
        <f t="shared" si="133"/>
        <v>21211.063319682493</v>
      </c>
      <c r="X222" s="187">
        <f t="shared" si="133"/>
        <v>21182.868530627107</v>
      </c>
      <c r="Y222" s="158">
        <f t="shared" si="133"/>
        <v>21161.346263494728</v>
      </c>
      <c r="Z222" s="158">
        <f t="shared" si="133"/>
        <v>21167.662301371587</v>
      </c>
      <c r="AA222" s="158">
        <f t="shared" si="133"/>
        <v>21185.380372184234</v>
      </c>
      <c r="AB222" s="158">
        <f t="shared" si="133"/>
        <v>21219.962653128794</v>
      </c>
      <c r="AC222" s="158">
        <f t="shared" si="133"/>
        <v>21247.356376083888</v>
      </c>
      <c r="AD222" s="158">
        <f t="shared" si="133"/>
        <v>21272.074467030037</v>
      </c>
      <c r="AE222" s="158">
        <f t="shared" si="133"/>
        <v>21286.342151850011</v>
      </c>
      <c r="AF222" s="158">
        <f t="shared" si="133"/>
        <v>21298.672272147309</v>
      </c>
      <c r="AG222" s="158">
        <f t="shared" si="133"/>
        <v>21318.577237008896</v>
      </c>
      <c r="AH222" s="187">
        <f t="shared" si="133"/>
        <v>21342.833936718671</v>
      </c>
    </row>
    <row r="223" spans="1:34" s="1" customFormat="1">
      <c r="A223" s="1" t="s">
        <v>444</v>
      </c>
      <c r="B223" s="13"/>
      <c r="C223" s="328" t="s">
        <v>0</v>
      </c>
      <c r="D223" s="341">
        <f>D210+D213</f>
        <v>345.76358061259964</v>
      </c>
      <c r="E223" s="341">
        <f t="shared" ref="E223:AH223" si="134">E210+E213</f>
        <v>1013.9703134651494</v>
      </c>
      <c r="F223" s="341">
        <f t="shared" si="134"/>
        <v>1196.8994192420678</v>
      </c>
      <c r="G223" s="341">
        <f t="shared" si="134"/>
        <v>1377.2601071467134</v>
      </c>
      <c r="H223" s="405">
        <f>H210+H213</f>
        <v>1376.7947654599689</v>
      </c>
      <c r="I223" s="15">
        <f t="shared" si="134"/>
        <v>1705.1295396449705</v>
      </c>
      <c r="J223" s="15">
        <f t="shared" si="134"/>
        <v>2136.007393505286</v>
      </c>
      <c r="K223" s="15">
        <f t="shared" si="134"/>
        <v>2742.8582178188326</v>
      </c>
      <c r="L223" s="15">
        <f t="shared" si="134"/>
        <v>3497.6488281026418</v>
      </c>
      <c r="M223" s="15">
        <f t="shared" si="134"/>
        <v>4447.118759189907</v>
      </c>
      <c r="N223" s="190">
        <f t="shared" si="134"/>
        <v>5631.3285662494418</v>
      </c>
      <c r="O223" s="15">
        <f t="shared" si="134"/>
        <v>5797.8388222105714</v>
      </c>
      <c r="P223" s="15">
        <f t="shared" si="134"/>
        <v>5947.7984763979712</v>
      </c>
      <c r="Q223" s="15">
        <f t="shared" si="134"/>
        <v>6088.4409151004875</v>
      </c>
      <c r="R223" s="15">
        <f t="shared" si="134"/>
        <v>6250.3840225784325</v>
      </c>
      <c r="S223" s="15">
        <f t="shared" si="134"/>
        <v>6403.8744485474481</v>
      </c>
      <c r="T223" s="15">
        <f t="shared" si="134"/>
        <v>6549.7998420481972</v>
      </c>
      <c r="U223" s="15">
        <f t="shared" si="134"/>
        <v>6703.0090040123678</v>
      </c>
      <c r="V223" s="15">
        <f t="shared" si="134"/>
        <v>6854.3181519741647</v>
      </c>
      <c r="W223" s="15">
        <f t="shared" si="134"/>
        <v>7008.1940949040145</v>
      </c>
      <c r="X223" s="190">
        <f t="shared" si="134"/>
        <v>7137.8048631621732</v>
      </c>
      <c r="Y223" s="130">
        <f t="shared" si="134"/>
        <v>7178.666172872574</v>
      </c>
      <c r="Z223" s="130">
        <f t="shared" si="134"/>
        <v>7229.2271234789805</v>
      </c>
      <c r="AA223" s="130">
        <f t="shared" si="134"/>
        <v>7284.0349150982811</v>
      </c>
      <c r="AB223" s="130">
        <f t="shared" si="134"/>
        <v>7345.0470425283338</v>
      </c>
      <c r="AC223" s="130">
        <f t="shared" si="134"/>
        <v>7403.9874335410686</v>
      </c>
      <c r="AD223" s="130">
        <f t="shared" si="134"/>
        <v>7462.4045407094809</v>
      </c>
      <c r="AE223" s="130">
        <f t="shared" si="134"/>
        <v>7517.5407373461712</v>
      </c>
      <c r="AF223" s="130">
        <f t="shared" si="134"/>
        <v>7572.3422603863419</v>
      </c>
      <c r="AG223" s="130">
        <f t="shared" si="134"/>
        <v>7630.2098550808205</v>
      </c>
      <c r="AH223" s="190">
        <f t="shared" si="134"/>
        <v>7690.0185097614813</v>
      </c>
    </row>
    <row r="224" spans="1:34">
      <c r="A224" t="s">
        <v>447</v>
      </c>
      <c r="D224" s="331">
        <f>D210+D213+D216</f>
        <v>895.81125803084808</v>
      </c>
      <c r="E224" s="331">
        <f t="shared" ref="E224:AH224" si="135">E210+E213+E216</f>
        <v>1619.6941795813773</v>
      </c>
      <c r="F224" s="331">
        <f t="shared" si="135"/>
        <v>1731.0773069668423</v>
      </c>
      <c r="G224" s="331">
        <f t="shared" si="135"/>
        <v>2007.2770775046567</v>
      </c>
      <c r="H224" s="402">
        <f t="shared" si="135"/>
        <v>2008.2215172852564</v>
      </c>
      <c r="I224" s="14">
        <f t="shared" si="135"/>
        <v>2342.8443691433004</v>
      </c>
      <c r="J224" s="14">
        <f t="shared" si="135"/>
        <v>2786.962781306217</v>
      </c>
      <c r="K224" s="14">
        <f t="shared" si="135"/>
        <v>3423.489032612184</v>
      </c>
      <c r="L224" s="14">
        <f t="shared" si="135"/>
        <v>4203.8677758050817</v>
      </c>
      <c r="M224" s="14">
        <f t="shared" si="135"/>
        <v>5177.2566469777794</v>
      </c>
      <c r="N224" s="187">
        <f t="shared" si="135"/>
        <v>6382.6386761048643</v>
      </c>
      <c r="O224" s="14">
        <f t="shared" si="135"/>
        <v>6558.1686437405924</v>
      </c>
      <c r="P224" s="14">
        <f t="shared" si="135"/>
        <v>6714.4683146522784</v>
      </c>
      <c r="Q224" s="14">
        <f t="shared" si="135"/>
        <v>6859.8119250365471</v>
      </c>
      <c r="R224" s="14">
        <f t="shared" si="135"/>
        <v>7028.7035985899192</v>
      </c>
      <c r="S224" s="14">
        <f t="shared" si="135"/>
        <v>7187.623735095849</v>
      </c>
      <c r="T224" s="14">
        <f t="shared" si="135"/>
        <v>7337.633708508889</v>
      </c>
      <c r="U224" s="14">
        <f t="shared" si="135"/>
        <v>7495.397142296355</v>
      </c>
      <c r="V224" s="14">
        <f t="shared" si="135"/>
        <v>7650.6303182504453</v>
      </c>
      <c r="W224" s="14">
        <f t="shared" si="135"/>
        <v>7808.3334475875299</v>
      </c>
      <c r="X224" s="187">
        <f t="shared" si="135"/>
        <v>7938.6604096050924</v>
      </c>
      <c r="Y224" s="158">
        <f t="shared" si="135"/>
        <v>7982.6306685856143</v>
      </c>
      <c r="Z224" s="158">
        <f t="shared" si="135"/>
        <v>8037.3431846795656</v>
      </c>
      <c r="AA224" s="158">
        <f t="shared" si="135"/>
        <v>8096.7306460550981</v>
      </c>
      <c r="AB224" s="158">
        <f t="shared" si="135"/>
        <v>8162.9657365433613</v>
      </c>
      <c r="AC224" s="158">
        <f t="shared" si="135"/>
        <v>8226.8484493971937</v>
      </c>
      <c r="AD224" s="158">
        <f t="shared" si="135"/>
        <v>8290.1002369256403</v>
      </c>
      <c r="AE224" s="158">
        <f t="shared" si="135"/>
        <v>8349.6584847183349</v>
      </c>
      <c r="AF224" s="158">
        <f t="shared" si="135"/>
        <v>8408.797038167877</v>
      </c>
      <c r="AG224" s="158">
        <f t="shared" si="135"/>
        <v>8471.2916931105847</v>
      </c>
      <c r="AH224" s="187">
        <f t="shared" si="135"/>
        <v>8535.8914989336809</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454</v>
      </c>
      <c r="D226" s="331">
        <f>D210+D213</f>
        <v>345.76358061259964</v>
      </c>
      <c r="E226" s="331">
        <f>D226+E210+E213</f>
        <v>1359.733894077749</v>
      </c>
      <c r="F226" s="331">
        <f>E226+F210+F213</f>
        <v>2556.6333133198168</v>
      </c>
      <c r="G226" s="331">
        <f>F226+G210+G213</f>
        <v>3933.8934204665302</v>
      </c>
      <c r="H226" s="402">
        <f t="shared" ref="H226:X226" si="136">G226+H210+H213</f>
        <v>5310.6881859264995</v>
      </c>
      <c r="I226" s="14">
        <f t="shared" si="136"/>
        <v>7015.81772557147</v>
      </c>
      <c r="J226" s="14">
        <f t="shared" si="136"/>
        <v>9151.8251190767551</v>
      </c>
      <c r="K226" s="14">
        <f t="shared" si="136"/>
        <v>11894.683336895589</v>
      </c>
      <c r="L226" s="14">
        <f t="shared" si="136"/>
        <v>15392.33216499823</v>
      </c>
      <c r="M226" s="14">
        <f t="shared" si="136"/>
        <v>19839.450924188139</v>
      </c>
      <c r="N226" s="187">
        <f t="shared" si="136"/>
        <v>25470.779490437581</v>
      </c>
      <c r="O226" s="14">
        <f t="shared" si="136"/>
        <v>31268.618312648152</v>
      </c>
      <c r="P226" s="14">
        <f t="shared" si="136"/>
        <v>37216.416789046125</v>
      </c>
      <c r="Q226" s="14">
        <f t="shared" si="136"/>
        <v>43304.857704146612</v>
      </c>
      <c r="R226" s="14">
        <f t="shared" si="136"/>
        <v>49555.241726725042</v>
      </c>
      <c r="S226" s="14">
        <f t="shared" si="136"/>
        <v>55959.116175272487</v>
      </c>
      <c r="T226" s="14">
        <f t="shared" si="136"/>
        <v>62508.916017320684</v>
      </c>
      <c r="U226" s="14">
        <f t="shared" si="136"/>
        <v>69211.925021333052</v>
      </c>
      <c r="V226" s="14">
        <f t="shared" si="136"/>
        <v>76066.243173307215</v>
      </c>
      <c r="W226" s="14">
        <f t="shared" si="136"/>
        <v>83074.43726821123</v>
      </c>
      <c r="X226" s="187">
        <f t="shared" si="136"/>
        <v>90212.242131373408</v>
      </c>
      <c r="Y226" s="158">
        <f t="shared" ref="Y226:AH226" si="137">X226+Y210+Y213</f>
        <v>97390.908304245982</v>
      </c>
      <c r="Z226" s="158">
        <f t="shared" si="137"/>
        <v>104620.13542772496</v>
      </c>
      <c r="AA226" s="158">
        <f t="shared" si="137"/>
        <v>111904.17034282324</v>
      </c>
      <c r="AB226" s="158">
        <f t="shared" si="137"/>
        <v>119249.21738535157</v>
      </c>
      <c r="AC226" s="158">
        <f t="shared" si="137"/>
        <v>126653.20481889264</v>
      </c>
      <c r="AD226" s="158">
        <f t="shared" si="137"/>
        <v>134115.60935960212</v>
      </c>
      <c r="AE226" s="158">
        <f t="shared" si="137"/>
        <v>141633.15009694829</v>
      </c>
      <c r="AF226" s="158">
        <f t="shared" si="137"/>
        <v>149205.49235733462</v>
      </c>
      <c r="AG226" s="158">
        <f t="shared" si="137"/>
        <v>156835.70221241543</v>
      </c>
      <c r="AH226" s="187">
        <f t="shared" si="137"/>
        <v>164525.72072217692</v>
      </c>
    </row>
    <row r="227" spans="1:34">
      <c r="A227" s="1" t="s">
        <v>455</v>
      </c>
      <c r="D227" s="331">
        <f>D219</f>
        <v>16217.353104071108</v>
      </c>
      <c r="E227" s="331">
        <f>D227+E219</f>
        <v>33185.409271161494</v>
      </c>
      <c r="F227" s="331">
        <f>E227+F219</f>
        <v>47555.915165899525</v>
      </c>
      <c r="G227" s="331">
        <f t="shared" ref="G227:X227" si="138">F227+G219</f>
        <v>64089.088462566731</v>
      </c>
      <c r="H227" s="402">
        <f t="shared" si="138"/>
        <v>80639.580786372011</v>
      </c>
      <c r="I227" s="14">
        <f t="shared" si="138"/>
        <v>96650.82568347198</v>
      </c>
      <c r="J227" s="14">
        <f t="shared" si="138"/>
        <v>112255.84681076482</v>
      </c>
      <c r="K227" s="14">
        <f t="shared" si="138"/>
        <v>127763.7435459728</v>
      </c>
      <c r="L227" s="14">
        <f t="shared" si="138"/>
        <v>142961.42175570122</v>
      </c>
      <c r="M227" s="14">
        <f t="shared" si="138"/>
        <v>157673.00097189102</v>
      </c>
      <c r="N227" s="187">
        <f t="shared" si="138"/>
        <v>171675.07264983392</v>
      </c>
      <c r="O227" s="14">
        <f t="shared" si="138"/>
        <v>185687.18416946466</v>
      </c>
      <c r="P227" s="14">
        <f t="shared" si="138"/>
        <v>199656.48602176938</v>
      </c>
      <c r="Q227" s="14">
        <f t="shared" si="138"/>
        <v>213550.55354541496</v>
      </c>
      <c r="R227" s="14">
        <f t="shared" si="138"/>
        <v>227407.30166563462</v>
      </c>
      <c r="S227" s="14">
        <f t="shared" si="138"/>
        <v>241196.63792634226</v>
      </c>
      <c r="T227" s="14">
        <f t="shared" si="138"/>
        <v>254892.46906413115</v>
      </c>
      <c r="U227" s="14">
        <f t="shared" si="138"/>
        <v>268500.65759983251</v>
      </c>
      <c r="V227" s="14">
        <f t="shared" si="138"/>
        <v>282008.0609794585</v>
      </c>
      <c r="W227" s="14">
        <f t="shared" si="138"/>
        <v>295410.79085155344</v>
      </c>
      <c r="X227" s="187">
        <f t="shared" si="138"/>
        <v>308654.99897257547</v>
      </c>
      <c r="Y227" s="158">
        <f t="shared" ref="Y227:AH227" si="139">X227+Y219</f>
        <v>321833.71456748457</v>
      </c>
      <c r="Z227" s="158">
        <f t="shared" si="139"/>
        <v>334964.03368417657</v>
      </c>
      <c r="AA227" s="158">
        <f t="shared" si="139"/>
        <v>348052.6834103057</v>
      </c>
      <c r="AB227" s="158">
        <f t="shared" si="139"/>
        <v>361109.68032689113</v>
      </c>
      <c r="AC227" s="158">
        <f t="shared" si="139"/>
        <v>374130.1882535778</v>
      </c>
      <c r="AD227" s="158">
        <f t="shared" si="139"/>
        <v>387112.16248368222</v>
      </c>
      <c r="AE227" s="158">
        <f t="shared" si="139"/>
        <v>400048.84615081392</v>
      </c>
      <c r="AF227" s="158">
        <f t="shared" si="139"/>
        <v>412938.72138479335</v>
      </c>
      <c r="AG227" s="158">
        <f t="shared" si="139"/>
        <v>425786.00692869164</v>
      </c>
      <c r="AH227" s="187">
        <f t="shared" si="139"/>
        <v>438592.94936647662</v>
      </c>
    </row>
    <row r="228" spans="1:34">
      <c r="A228" s="1" t="s">
        <v>457</v>
      </c>
      <c r="D228" s="331">
        <f t="shared" ref="D228:AH228" si="140">D227-D207</f>
        <v>-144.83889592889318</v>
      </c>
      <c r="E228" s="331">
        <f t="shared" si="140"/>
        <v>-160.42749551737506</v>
      </c>
      <c r="F228" s="331">
        <f t="shared" si="140"/>
        <v>-216.36134461022448</v>
      </c>
      <c r="G228" s="331">
        <f t="shared" si="140"/>
        <v>-247.92596437768225</v>
      </c>
      <c r="H228" s="402">
        <f>H227-H207</f>
        <v>-248.14123437769013</v>
      </c>
      <c r="I228" s="14">
        <f t="shared" si="140"/>
        <v>-431.00396145769628</v>
      </c>
      <c r="J228" s="14">
        <f t="shared" si="140"/>
        <v>-888.20660063432297</v>
      </c>
      <c r="K228" s="14">
        <f t="shared" si="140"/>
        <v>-1709.2284488637524</v>
      </c>
      <c r="L228" s="14">
        <f t="shared" si="140"/>
        <v>-3037.5701299213979</v>
      </c>
      <c r="M228" s="14">
        <f t="shared" si="140"/>
        <v>-4998.0337506183423</v>
      </c>
      <c r="N228" s="187">
        <f t="shared" si="140"/>
        <v>-7740.0258955195604</v>
      </c>
      <c r="O228" s="14">
        <f t="shared" si="140"/>
        <v>-10589.772415691958</v>
      </c>
      <c r="P228" s="14">
        <f t="shared" si="140"/>
        <v>-13541.270613697328</v>
      </c>
      <c r="Q228" s="14">
        <f t="shared" si="140"/>
        <v>-16563.775348056777</v>
      </c>
      <c r="R228" s="14">
        <f t="shared" si="140"/>
        <v>-19695.790190406726</v>
      </c>
      <c r="S228" s="14">
        <f t="shared" si="140"/>
        <v>-22930.437858665944</v>
      </c>
      <c r="T228" s="14">
        <f t="shared" si="140"/>
        <v>-26261.414113671344</v>
      </c>
      <c r="U228" s="14">
        <f t="shared" si="140"/>
        <v>-29693.650304554729</v>
      </c>
      <c r="V228" s="14">
        <f t="shared" si="140"/>
        <v>-33221.706211329612</v>
      </c>
      <c r="W228" s="14">
        <f t="shared" si="140"/>
        <v>-36850.880352067179</v>
      </c>
      <c r="X228" s="187">
        <f t="shared" si="140"/>
        <v>-40560.480309890583</v>
      </c>
      <c r="Y228" s="158">
        <f t="shared" si="140"/>
        <v>-44290.389084092516</v>
      </c>
      <c r="Z228" s="158">
        <f t="shared" si="140"/>
        <v>-48048.602888870228</v>
      </c>
      <c r="AA228" s="158">
        <f t="shared" si="140"/>
        <v>-51843.311930596537</v>
      </c>
      <c r="AB228" s="158">
        <f t="shared" si="140"/>
        <v>-55668.743949275173</v>
      </c>
      <c r="AC228" s="158">
        <f t="shared" si="140"/>
        <v>-59525.619965832215</v>
      </c>
      <c r="AD228" s="158">
        <f t="shared" si="140"/>
        <v>-63419.114125267952</v>
      </c>
      <c r="AE228" s="158">
        <f t="shared" si="140"/>
        <v>-67346.418914814363</v>
      </c>
      <c r="AF228" s="158">
        <f t="shared" si="140"/>
        <v>-71308.568803639326</v>
      </c>
      <c r="AG228" s="158">
        <f t="shared" si="140"/>
        <v>-75303.658159687824</v>
      </c>
      <c r="AH228" s="187">
        <f t="shared" si="140"/>
        <v>-79329.845512650849</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1">
        <f t="shared" ref="C234:AH234" si="145">C213-C194</f>
        <v>-2.7000000000043656E-4</v>
      </c>
      <c r="D234" s="331">
        <f t="shared" si="145"/>
        <v>42.461450612599606</v>
      </c>
      <c r="E234" s="331">
        <f t="shared" si="145"/>
        <v>1.2948500455555632</v>
      </c>
      <c r="F234" s="331">
        <f t="shared" si="145"/>
        <v>1.9100751839987424</v>
      </c>
      <c r="G234" s="331">
        <f t="shared" si="145"/>
        <v>3.76083627606954</v>
      </c>
      <c r="H234" s="402">
        <f>H213-H194</f>
        <v>-2.7000000000043656E-4</v>
      </c>
      <c r="I234" s="14">
        <f t="shared" si="145"/>
        <v>318.7920140692579</v>
      </c>
      <c r="J234" s="14">
        <f t="shared" si="145"/>
        <v>740.90512711484234</v>
      </c>
      <c r="K234" s="14">
        <f t="shared" si="145"/>
        <v>1347.7082763876824</v>
      </c>
      <c r="L234" s="14">
        <f t="shared" si="145"/>
        <v>2102.4623910048044</v>
      </c>
      <c r="M234" s="14">
        <f t="shared" si="145"/>
        <v>3052.0720730608009</v>
      </c>
      <c r="N234" s="187">
        <f t="shared" si="145"/>
        <v>4235.7653277427044</v>
      </c>
      <c r="O234" s="14">
        <f t="shared" si="145"/>
        <v>4402.1020629702716</v>
      </c>
      <c r="P234" s="14">
        <f t="shared" si="145"/>
        <v>4551.851980645115</v>
      </c>
      <c r="Q234" s="14">
        <f t="shared" si="145"/>
        <v>4692.1473693004618</v>
      </c>
      <c r="R234" s="14">
        <f t="shared" si="145"/>
        <v>4853.2064587638324</v>
      </c>
      <c r="S234" s="14">
        <f t="shared" si="145"/>
        <v>5005.3425145043293</v>
      </c>
      <c r="T234" s="14">
        <f t="shared" si="145"/>
        <v>5149.2728378518532</v>
      </c>
      <c r="U234" s="14">
        <f t="shared" si="145"/>
        <v>5300.2955407243244</v>
      </c>
      <c r="V234" s="14">
        <f t="shared" si="145"/>
        <v>5449.4276645193022</v>
      </c>
      <c r="W234" s="14">
        <f t="shared" si="145"/>
        <v>5601.05279205632</v>
      </c>
      <c r="X234" s="187">
        <f t="shared" si="145"/>
        <v>5727.9811184497539</v>
      </c>
      <c r="Y234" s="158">
        <f t="shared" si="145"/>
        <v>5766.6925887904181</v>
      </c>
      <c r="Z234" s="158">
        <f t="shared" si="145"/>
        <v>5815.1796003478612</v>
      </c>
      <c r="AA234" s="158">
        <f t="shared" si="145"/>
        <v>5866.0724209732307</v>
      </c>
      <c r="AB234" s="158">
        <f t="shared" si="145"/>
        <v>5920.6672679719341</v>
      </c>
      <c r="AC234" s="158">
        <f t="shared" si="145"/>
        <v>5975.2091280029126</v>
      </c>
      <c r="AD234" s="158">
        <f t="shared" si="145"/>
        <v>6030.855245763837</v>
      </c>
      <c r="AE234" s="158">
        <f t="shared" si="145"/>
        <v>6077.7774080297404</v>
      </c>
      <c r="AF234" s="158">
        <f t="shared" si="145"/>
        <v>6126.3946175898227</v>
      </c>
      <c r="AG234" s="158">
        <f t="shared" si="145"/>
        <v>6171.7398533904079</v>
      </c>
      <c r="AH234" s="187">
        <f t="shared" si="145"/>
        <v>6214.0526580544683</v>
      </c>
    </row>
    <row r="235" spans="1:34">
      <c r="A235" t="s">
        <v>418</v>
      </c>
      <c r="C235" s="331">
        <f t="shared" ref="C235:AH235" si="146">C214-C195</f>
        <v>0</v>
      </c>
      <c r="D235" s="331">
        <f t="shared" si="146"/>
        <v>22.348336008124363</v>
      </c>
      <c r="E235" s="331">
        <f t="shared" si="146"/>
        <v>0.68177554623991909</v>
      </c>
      <c r="F235" s="331">
        <f t="shared" si="146"/>
        <v>1.0056007744159388</v>
      </c>
      <c r="G235" s="331">
        <f t="shared" si="146"/>
        <v>1.9798189741323995</v>
      </c>
      <c r="H235" s="402">
        <f t="shared" si="146"/>
        <v>0</v>
      </c>
      <c r="I235" s="14">
        <f t="shared" si="146"/>
        <v>167.78544616595741</v>
      </c>
      <c r="J235" s="14">
        <f t="shared" si="146"/>
        <v>389.95028638926476</v>
      </c>
      <c r="K235" s="14">
        <f t="shared" si="146"/>
        <v>709.32042667963617</v>
      </c>
      <c r="L235" s="14">
        <f t="shared" si="146"/>
        <v>1106.5595109491528</v>
      </c>
      <c r="M235" s="14">
        <f t="shared" si="146"/>
        <v>1606.3541765424584</v>
      </c>
      <c r="N235" s="187">
        <f t="shared" si="146"/>
        <v>2229.3507459145198</v>
      </c>
      <c r="O235" s="14">
        <f t="shared" si="146"/>
        <v>2316.8964129894448</v>
      </c>
      <c r="P235" s="14">
        <f t="shared" si="146"/>
        <v>2395.7121744039632</v>
      </c>
      <c r="Q235" s="14">
        <f t="shared" si="146"/>
        <v>2469.5518669647431</v>
      </c>
      <c r="R235" s="14">
        <f t="shared" si="146"/>
        <v>2554.3198252776665</v>
      </c>
      <c r="S235" s="14">
        <f t="shared" si="146"/>
        <v>2634.391449191528</v>
      </c>
      <c r="T235" s="14">
        <f t="shared" si="146"/>
        <v>2710.1442658124515</v>
      </c>
      <c r="U235" s="14">
        <f t="shared" si="146"/>
        <v>2789.6299145039757</v>
      </c>
      <c r="V235" s="14">
        <f t="shared" si="146"/>
        <v>2868.1205213822941</v>
      </c>
      <c r="W235" s="14">
        <f t="shared" si="146"/>
        <v>2947.9232357546334</v>
      </c>
      <c r="X235" s="187">
        <f t="shared" si="146"/>
        <v>3014.7276312647755</v>
      </c>
      <c r="Y235" s="158">
        <f t="shared" si="146"/>
        <v>3035.1020934995722</v>
      </c>
      <c r="Z235" s="158">
        <f t="shared" si="146"/>
        <v>3060.6215784150913</v>
      </c>
      <c r="AA235" s="158">
        <f t="shared" si="146"/>
        <v>3087.4072790619593</v>
      </c>
      <c r="AB235" s="158">
        <f t="shared" si="146"/>
        <v>3116.1414152739271</v>
      </c>
      <c r="AC235" s="158">
        <f t="shared" si="146"/>
        <v>3144.8476633971868</v>
      </c>
      <c r="AD235" s="158">
        <f t="shared" si="146"/>
        <v>3174.1350997460818</v>
      </c>
      <c r="AE235" s="158">
        <f t="shared" si="146"/>
        <v>3198.8309802371978</v>
      </c>
      <c r="AF235" s="158">
        <f t="shared" si="146"/>
        <v>3224.4189908490671</v>
      </c>
      <c r="AG235" s="158">
        <f t="shared" si="146"/>
        <v>3248.2849103207755</v>
      </c>
      <c r="AH235" s="187">
        <f t="shared" si="146"/>
        <v>3270.5548136024909</v>
      </c>
    </row>
    <row r="236" spans="1:34">
      <c r="A236" t="s">
        <v>419</v>
      </c>
      <c r="C236" s="331">
        <f t="shared" ref="C236:AH236" si="147">C215-C196</f>
        <v>-2.7000000000043656E-4</v>
      </c>
      <c r="D236" s="331">
        <f t="shared" si="147"/>
        <v>20.113114604475243</v>
      </c>
      <c r="E236" s="331">
        <f t="shared" si="147"/>
        <v>0.6130744993157009</v>
      </c>
      <c r="F236" s="331">
        <f t="shared" si="147"/>
        <v>0.90447440958291736</v>
      </c>
      <c r="G236" s="331">
        <f t="shared" si="147"/>
        <v>1.7810173019370268</v>
      </c>
      <c r="H236" s="402">
        <f>H215-H196</f>
        <v>-2.7000000000043656E-4</v>
      </c>
      <c r="I236" s="14">
        <f t="shared" si="147"/>
        <v>151.00656790330049</v>
      </c>
      <c r="J236" s="14">
        <f t="shared" si="147"/>
        <v>350.95484072557781</v>
      </c>
      <c r="K236" s="14">
        <f t="shared" si="147"/>
        <v>638.38784970804591</v>
      </c>
      <c r="L236" s="14">
        <f t="shared" si="147"/>
        <v>995.90288005565162</v>
      </c>
      <c r="M236" s="14">
        <f t="shared" si="147"/>
        <v>1445.7178965183425</v>
      </c>
      <c r="N236" s="187">
        <f t="shared" si="147"/>
        <v>2006.414581828185</v>
      </c>
      <c r="O236" s="14">
        <f t="shared" si="147"/>
        <v>2085.2056499808268</v>
      </c>
      <c r="P236" s="14">
        <f t="shared" si="147"/>
        <v>2156.1398062411522</v>
      </c>
      <c r="Q236" s="14">
        <f t="shared" si="147"/>
        <v>2222.5955023357183</v>
      </c>
      <c r="R236" s="14">
        <f t="shared" si="147"/>
        <v>2298.8866334861659</v>
      </c>
      <c r="S236" s="14">
        <f t="shared" si="147"/>
        <v>2370.9510653128013</v>
      </c>
      <c r="T236" s="14">
        <f t="shared" si="147"/>
        <v>2439.1285720394017</v>
      </c>
      <c r="U236" s="14">
        <f t="shared" si="147"/>
        <v>2510.6656262203487</v>
      </c>
      <c r="V236" s="14">
        <f t="shared" si="147"/>
        <v>2581.3071431370081</v>
      </c>
      <c r="W236" s="14">
        <f t="shared" si="147"/>
        <v>2653.1295563016865</v>
      </c>
      <c r="X236" s="187">
        <f t="shared" si="147"/>
        <v>2713.2534871849789</v>
      </c>
      <c r="Y236" s="158">
        <f t="shared" si="147"/>
        <v>2731.5904952908459</v>
      </c>
      <c r="Z236" s="158">
        <f t="shared" si="147"/>
        <v>2754.5580219327703</v>
      </c>
      <c r="AA236" s="158">
        <f t="shared" si="147"/>
        <v>2778.6651419112709</v>
      </c>
      <c r="AB236" s="158">
        <f t="shared" si="147"/>
        <v>2804.5258526980065</v>
      </c>
      <c r="AC236" s="158">
        <f t="shared" si="147"/>
        <v>2830.3614646057249</v>
      </c>
      <c r="AD236" s="158">
        <f t="shared" si="147"/>
        <v>2856.7201460177548</v>
      </c>
      <c r="AE236" s="158">
        <f t="shared" si="147"/>
        <v>2878.9464277925422</v>
      </c>
      <c r="AF236" s="158">
        <f t="shared" si="147"/>
        <v>2901.9756267407565</v>
      </c>
      <c r="AG236" s="158">
        <f t="shared" si="147"/>
        <v>2923.4549430696325</v>
      </c>
      <c r="AH236" s="187">
        <f t="shared" si="147"/>
        <v>2943.4978444519779</v>
      </c>
    </row>
    <row r="237" spans="1:34">
      <c r="A237" t="s">
        <v>420</v>
      </c>
      <c r="C237" s="331">
        <f t="shared" ref="C237:AH237" si="148">C216-C197</f>
        <v>0</v>
      </c>
      <c r="D237" s="331">
        <f t="shared" si="148"/>
        <v>160.45552741824849</v>
      </c>
      <c r="E237" s="331">
        <f t="shared" si="148"/>
        <v>20.324128944852532</v>
      </c>
      <c r="F237" s="331">
        <f t="shared" si="148"/>
        <v>74.901030238173576</v>
      </c>
      <c r="G237" s="331">
        <f t="shared" si="148"/>
        <v>40.348874191009827</v>
      </c>
      <c r="H237" s="402">
        <f t="shared" si="148"/>
        <v>0</v>
      </c>
      <c r="I237" s="14">
        <f t="shared" si="148"/>
        <v>-32.494432906746738</v>
      </c>
      <c r="J237" s="14">
        <f t="shared" si="148"/>
        <v>-31.114944025444402</v>
      </c>
      <c r="K237" s="14">
        <f t="shared" si="148"/>
        <v>-70.679354666034214</v>
      </c>
      <c r="L237" s="14">
        <f t="shared" si="148"/>
        <v>-45.091221756945743</v>
      </c>
      <c r="M237" s="14">
        <f t="shared" si="148"/>
        <v>-21.172281671512792</v>
      </c>
      <c r="N237" s="187">
        <f t="shared" si="148"/>
        <v>0</v>
      </c>
      <c r="O237" s="14">
        <f t="shared" si="148"/>
        <v>-0.10529743094275545</v>
      </c>
      <c r="P237" s="14">
        <f t="shared" si="148"/>
        <v>6.2347192933436872</v>
      </c>
      <c r="Q237" s="14">
        <f t="shared" si="148"/>
        <v>-21.026674558740069</v>
      </c>
      <c r="R237" s="14">
        <f t="shared" si="148"/>
        <v>-14.078108483312462</v>
      </c>
      <c r="S237" s="14">
        <f t="shared" si="148"/>
        <v>-8.6483979463985179</v>
      </c>
      <c r="T237" s="14">
        <f t="shared" si="148"/>
        <v>-4.5638180341081807</v>
      </c>
      <c r="U237" s="14">
        <f t="shared" si="148"/>
        <v>-9.5462108124593215E-3</v>
      </c>
      <c r="V237" s="14">
        <f t="shared" si="148"/>
        <v>-1.2090748746401232</v>
      </c>
      <c r="W237" s="14">
        <f t="shared" si="148"/>
        <v>2.618111532594753</v>
      </c>
      <c r="X237" s="187">
        <f t="shared" si="148"/>
        <v>0</v>
      </c>
      <c r="Y237" s="158">
        <f t="shared" si="148"/>
        <v>-6.7577715505049127</v>
      </c>
      <c r="Z237" s="158">
        <f t="shared" si="148"/>
        <v>-11.227859701295984</v>
      </c>
      <c r="AA237" s="158">
        <f t="shared" si="148"/>
        <v>-6.6481899450639048</v>
      </c>
      <c r="AB237" s="158">
        <f t="shared" si="148"/>
        <v>-13.205413730414193</v>
      </c>
      <c r="AC237" s="158">
        <f t="shared" si="148"/>
        <v>-18.732468379440888</v>
      </c>
      <c r="AD237" s="158">
        <f t="shared" si="148"/>
        <v>-18.177292956039082</v>
      </c>
      <c r="AE237" s="158">
        <f t="shared" si="148"/>
        <v>-13.755241800035492</v>
      </c>
      <c r="AF237" s="158">
        <f t="shared" si="148"/>
        <v>-9.4182113906642826</v>
      </c>
      <c r="AG237" s="158">
        <f t="shared" si="148"/>
        <v>-4.7911511424343871</v>
      </c>
      <c r="AH237" s="187">
        <f t="shared" si="148"/>
        <v>0</v>
      </c>
    </row>
    <row r="238" spans="1:34">
      <c r="A238" t="s">
        <v>421</v>
      </c>
      <c r="C238" s="331">
        <f t="shared" ref="C238:AH238" si="149">C217-C198</f>
        <v>0</v>
      </c>
      <c r="D238" s="331">
        <f t="shared" si="149"/>
        <v>84.450277588551785</v>
      </c>
      <c r="E238" s="331">
        <f t="shared" si="149"/>
        <v>10.696909970975071</v>
      </c>
      <c r="F238" s="331">
        <f t="shared" si="149"/>
        <v>39.421594862196628</v>
      </c>
      <c r="G238" s="331">
        <f t="shared" si="149"/>
        <v>21.236249574215719</v>
      </c>
      <c r="H238" s="402">
        <f t="shared" si="149"/>
        <v>0</v>
      </c>
      <c r="I238" s="14">
        <f t="shared" si="149"/>
        <v>-17.102333108814037</v>
      </c>
      <c r="J238" s="14">
        <f t="shared" si="149"/>
        <v>-16.376286329181312</v>
      </c>
      <c r="K238" s="14">
        <f t="shared" si="149"/>
        <v>-37.199660350544377</v>
      </c>
      <c r="L238" s="14">
        <f t="shared" si="149"/>
        <v>-23.732221977339861</v>
      </c>
      <c r="M238" s="14">
        <f t="shared" si="149"/>
        <v>-11.143306142901451</v>
      </c>
      <c r="N238" s="187">
        <f t="shared" si="149"/>
        <v>0</v>
      </c>
      <c r="O238" s="14">
        <f t="shared" si="149"/>
        <v>-5.541970049620204E-2</v>
      </c>
      <c r="P238" s="14">
        <f t="shared" si="149"/>
        <v>3.2814312070230471</v>
      </c>
      <c r="Q238" s="14">
        <f t="shared" si="149"/>
        <v>-11.066670820389447</v>
      </c>
      <c r="R238" s="14">
        <f t="shared" si="149"/>
        <v>-7.4095307806907726</v>
      </c>
      <c r="S238" s="14">
        <f t="shared" si="149"/>
        <v>-4.5517883928413312</v>
      </c>
      <c r="T238" s="14">
        <f t="shared" si="149"/>
        <v>-2.4020094916358516</v>
      </c>
      <c r="U238" s="14">
        <f t="shared" si="149"/>
        <v>-5.0243214802208058E-3</v>
      </c>
      <c r="V238" s="14">
        <f t="shared" si="149"/>
        <v>-0.63635519717905709</v>
      </c>
      <c r="W238" s="14">
        <f t="shared" si="149"/>
        <v>1.3779534382077259</v>
      </c>
      <c r="X238" s="187">
        <f t="shared" si="149"/>
        <v>0</v>
      </c>
      <c r="Y238" s="158">
        <f t="shared" si="149"/>
        <v>-3.5567218686867932</v>
      </c>
      <c r="Z238" s="158">
        <f t="shared" si="149"/>
        <v>-5.9093998427873089</v>
      </c>
      <c r="AA238" s="158">
        <f t="shared" si="149"/>
        <v>-3.4990473395072854</v>
      </c>
      <c r="AB238" s="158">
        <f t="shared" si="149"/>
        <v>-6.9502177528495963</v>
      </c>
      <c r="AC238" s="158">
        <f t="shared" si="149"/>
        <v>-9.8591938839163049</v>
      </c>
      <c r="AD238" s="158">
        <f t="shared" si="149"/>
        <v>-9.5669962926521634</v>
      </c>
      <c r="AE238" s="158">
        <f t="shared" si="149"/>
        <v>-7.239600947387089</v>
      </c>
      <c r="AF238" s="158">
        <f t="shared" si="149"/>
        <v>-4.9569533635075231</v>
      </c>
      <c r="AG238" s="158">
        <f t="shared" si="149"/>
        <v>-2.5216584960181194</v>
      </c>
      <c r="AH238" s="187">
        <f t="shared" si="149"/>
        <v>0</v>
      </c>
    </row>
    <row r="239" spans="1:34">
      <c r="A239" t="s">
        <v>422</v>
      </c>
      <c r="C239" s="331">
        <f t="shared" ref="C239:AH239" si="150">C218-C199</f>
        <v>0</v>
      </c>
      <c r="D239" s="331">
        <f t="shared" si="150"/>
        <v>76.005249829696623</v>
      </c>
      <c r="E239" s="331">
        <f t="shared" si="150"/>
        <v>9.6272189738775182</v>
      </c>
      <c r="F239" s="331">
        <f t="shared" si="150"/>
        <v>35.479435375976976</v>
      </c>
      <c r="G239" s="331">
        <f t="shared" si="150"/>
        <v>19.112624616794164</v>
      </c>
      <c r="H239" s="402">
        <f t="shared" si="150"/>
        <v>0</v>
      </c>
      <c r="I239" s="14">
        <f t="shared" si="150"/>
        <v>-15.392099797932644</v>
      </c>
      <c r="J239" s="14">
        <f t="shared" si="150"/>
        <v>-14.738657696263147</v>
      </c>
      <c r="K239" s="14">
        <f t="shared" si="150"/>
        <v>-33.479694315489894</v>
      </c>
      <c r="L239" s="14">
        <f t="shared" si="150"/>
        <v>-21.358999779605824</v>
      </c>
      <c r="M239" s="14">
        <f t="shared" si="150"/>
        <v>-10.028975528611284</v>
      </c>
      <c r="N239" s="187">
        <f t="shared" si="150"/>
        <v>0</v>
      </c>
      <c r="O239" s="14">
        <f t="shared" si="150"/>
        <v>-4.9877730446553414E-2</v>
      </c>
      <c r="P239" s="14">
        <f t="shared" si="150"/>
        <v>2.9532880863207538</v>
      </c>
      <c r="Q239" s="14">
        <f t="shared" si="150"/>
        <v>-9.9600037383505082</v>
      </c>
      <c r="R239" s="14">
        <f t="shared" si="150"/>
        <v>-6.6685777026216897</v>
      </c>
      <c r="S239" s="14">
        <f t="shared" si="150"/>
        <v>-4.0966095535571867</v>
      </c>
      <c r="T239" s="14">
        <f t="shared" si="150"/>
        <v>-2.1618085424722722</v>
      </c>
      <c r="U239" s="14">
        <f t="shared" si="150"/>
        <v>-4.5218893321816722E-3</v>
      </c>
      <c r="V239" s="14">
        <f t="shared" si="150"/>
        <v>-0.57271967746112296</v>
      </c>
      <c r="W239" s="14">
        <f t="shared" si="150"/>
        <v>1.2401580943869703</v>
      </c>
      <c r="X239" s="187">
        <f t="shared" si="150"/>
        <v>0</v>
      </c>
      <c r="Y239" s="158">
        <f t="shared" si="150"/>
        <v>-3.2010496818181196</v>
      </c>
      <c r="Z239" s="158">
        <f t="shared" si="150"/>
        <v>-5.318459858508561</v>
      </c>
      <c r="AA239" s="158">
        <f t="shared" si="150"/>
        <v>-3.1491426055565626</v>
      </c>
      <c r="AB239" s="158">
        <f t="shared" si="150"/>
        <v>-6.2551959775646537</v>
      </c>
      <c r="AC239" s="158">
        <f t="shared" si="150"/>
        <v>-8.8732744955246403</v>
      </c>
      <c r="AD239" s="158">
        <f t="shared" si="150"/>
        <v>-8.6102966633869755</v>
      </c>
      <c r="AE239" s="158">
        <f t="shared" si="150"/>
        <v>-6.5156408526484029</v>
      </c>
      <c r="AF239" s="158">
        <f t="shared" si="150"/>
        <v>-4.4612580271568163</v>
      </c>
      <c r="AG239" s="158">
        <f t="shared" si="150"/>
        <v>-2.2694926464163245</v>
      </c>
      <c r="AH239" s="187">
        <f t="shared" si="150"/>
        <v>0</v>
      </c>
    </row>
    <row r="240" spans="1:34">
      <c r="A240" t="s">
        <v>394</v>
      </c>
      <c r="C240" s="331">
        <f>C219-C200</f>
        <v>-0.20900000000256114</v>
      </c>
      <c r="D240" s="331">
        <f t="shared" ref="D240:AH240" si="151">D219-D200+D249+D252</f>
        <v>-144.83889592889318</v>
      </c>
      <c r="E240" s="331">
        <f t="shared" si="151"/>
        <v>-15.588599588481884</v>
      </c>
      <c r="F240" s="331">
        <f t="shared" si="151"/>
        <v>-55.933849092845776</v>
      </c>
      <c r="G240" s="331">
        <f t="shared" si="151"/>
        <v>-31.564619767457771</v>
      </c>
      <c r="H240" s="402">
        <f t="shared" si="151"/>
        <v>-0.21527000000787666</v>
      </c>
      <c r="I240" s="14">
        <f t="shared" si="151"/>
        <v>-182.86272708000615</v>
      </c>
      <c r="J240" s="14">
        <f t="shared" si="151"/>
        <v>-457.20263917662669</v>
      </c>
      <c r="K240" s="14">
        <f t="shared" si="151"/>
        <v>-821.02184822942399</v>
      </c>
      <c r="L240" s="14">
        <f t="shared" si="151"/>
        <v>-1328.3416810576473</v>
      </c>
      <c r="M240" s="14">
        <f t="shared" si="151"/>
        <v>-1960.4636206969408</v>
      </c>
      <c r="N240" s="187">
        <f t="shared" si="151"/>
        <v>-2741.9921449012254</v>
      </c>
      <c r="O240" s="14">
        <f t="shared" si="151"/>
        <v>-2849.7465201723753</v>
      </c>
      <c r="P240" s="14">
        <f t="shared" si="151"/>
        <v>-2951.4981980053672</v>
      </c>
      <c r="Q240" s="14">
        <f t="shared" si="151"/>
        <v>-3022.5047343594524</v>
      </c>
      <c r="R240" s="14">
        <f t="shared" si="151"/>
        <v>-3132.0148423499631</v>
      </c>
      <c r="S240" s="14">
        <f t="shared" si="151"/>
        <v>-3234.6476682592365</v>
      </c>
      <c r="T240" s="14">
        <f t="shared" si="151"/>
        <v>-3330.9762550053965</v>
      </c>
      <c r="U240" s="14">
        <f t="shared" si="151"/>
        <v>-3432.2361908834046</v>
      </c>
      <c r="V240" s="14">
        <f t="shared" si="151"/>
        <v>-3528.0559067748909</v>
      </c>
      <c r="W240" s="14">
        <f t="shared" si="151"/>
        <v>-3629.1741407375266</v>
      </c>
      <c r="X240" s="187">
        <f t="shared" si="151"/>
        <v>-3709.5999578234423</v>
      </c>
      <c r="Y240" s="158">
        <f t="shared" si="151"/>
        <v>-3729.9087742018892</v>
      </c>
      <c r="Z240" s="158">
        <f t="shared" si="151"/>
        <v>-3758.2138047776789</v>
      </c>
      <c r="AA240" s="158">
        <f t="shared" si="151"/>
        <v>-3794.709041726288</v>
      </c>
      <c r="AB240" s="158">
        <f t="shared" si="151"/>
        <v>-3825.4320186786172</v>
      </c>
      <c r="AC240" s="158">
        <f t="shared" si="151"/>
        <v>-3856.8760165570202</v>
      </c>
      <c r="AD240" s="158">
        <f t="shared" si="151"/>
        <v>-3893.4941594357497</v>
      </c>
      <c r="AE240" s="158">
        <f t="shared" si="151"/>
        <v>-3927.3047895464551</v>
      </c>
      <c r="AF240" s="158">
        <f t="shared" si="151"/>
        <v>-3962.1498888249389</v>
      </c>
      <c r="AG240" s="158">
        <f t="shared" si="151"/>
        <v>-3995.0893560484801</v>
      </c>
      <c r="AH240" s="187">
        <f t="shared" si="151"/>
        <v>-4026.1873529630229</v>
      </c>
    </row>
    <row r="241" spans="1:34">
      <c r="A241" t="s">
        <v>423</v>
      </c>
      <c r="C241" s="331">
        <f>C220-C201</f>
        <v>-0.11000000000058208</v>
      </c>
      <c r="D241" s="331">
        <f t="shared" ref="D241:AH241" si="152">D220-D201+D250+D253</f>
        <v>-76.230997857312104</v>
      </c>
      <c r="E241" s="331">
        <f t="shared" si="152"/>
        <v>-8.2045260991999385</v>
      </c>
      <c r="F241" s="331">
        <f t="shared" si="152"/>
        <v>-29.438867943604237</v>
      </c>
      <c r="G241" s="331">
        <f t="shared" si="152"/>
        <v>-16.612957772347727</v>
      </c>
      <c r="H241" s="402">
        <f t="shared" si="152"/>
        <v>-0.11330000000270957</v>
      </c>
      <c r="I241" s="14">
        <f t="shared" si="152"/>
        <v>-96.243540568424578</v>
      </c>
      <c r="J241" s="14">
        <f t="shared" si="152"/>
        <v>-240.63296798769807</v>
      </c>
      <c r="K241" s="14">
        <f t="shared" si="152"/>
        <v>-432.11676222601272</v>
      </c>
      <c r="L241" s="14">
        <f t="shared" si="152"/>
        <v>-699.12720055665613</v>
      </c>
      <c r="M241" s="14">
        <f t="shared" si="152"/>
        <v>-1031.8229582615468</v>
      </c>
      <c r="N241" s="187">
        <f t="shared" si="152"/>
        <v>-1443.1537604743298</v>
      </c>
      <c r="O241" s="14">
        <f t="shared" si="152"/>
        <v>-1499.8665895644081</v>
      </c>
      <c r="P241" s="14">
        <f t="shared" si="152"/>
        <v>-1553.4201042133509</v>
      </c>
      <c r="Q241" s="14">
        <f t="shared" si="152"/>
        <v>-1590.7919654523439</v>
      </c>
      <c r="R241" s="14">
        <f t="shared" si="152"/>
        <v>-1648.4288643947175</v>
      </c>
      <c r="S241" s="14">
        <f t="shared" si="152"/>
        <v>-1702.4461411890734</v>
      </c>
      <c r="T241" s="14">
        <f t="shared" si="152"/>
        <v>-1753.1453973712623</v>
      </c>
      <c r="U241" s="14">
        <f t="shared" si="152"/>
        <v>-1806.4401004649499</v>
      </c>
      <c r="V241" s="14">
        <f t="shared" si="152"/>
        <v>-1856.8715298815214</v>
      </c>
      <c r="W241" s="14">
        <f t="shared" si="152"/>
        <v>-1910.0916530197519</v>
      </c>
      <c r="X241" s="187">
        <f t="shared" si="152"/>
        <v>-1952.421030433391</v>
      </c>
      <c r="Y241" s="158">
        <f t="shared" si="152"/>
        <v>-1963.109881158889</v>
      </c>
      <c r="Z241" s="158">
        <f t="shared" si="152"/>
        <v>-1978.0072656724624</v>
      </c>
      <c r="AA241" s="158">
        <f t="shared" si="152"/>
        <v>-1997.2152851190986</v>
      </c>
      <c r="AB241" s="158">
        <f t="shared" si="152"/>
        <v>-2013.3852729887458</v>
      </c>
      <c r="AC241" s="158">
        <f t="shared" si="152"/>
        <v>-2029.9347455563257</v>
      </c>
      <c r="AD241" s="158">
        <f t="shared" si="152"/>
        <v>-2049.2074523346046</v>
      </c>
      <c r="AE241" s="158">
        <f t="shared" si="152"/>
        <v>-2067.0025208139232</v>
      </c>
      <c r="AF241" s="158">
        <f t="shared" si="152"/>
        <v>-2085.3420467499682</v>
      </c>
      <c r="AG241" s="158">
        <f t="shared" si="152"/>
        <v>-2102.6786084465693</v>
      </c>
      <c r="AH241" s="187">
        <f t="shared" si="152"/>
        <v>-2119.0459752436964</v>
      </c>
    </row>
    <row r="242" spans="1:34">
      <c r="A242" t="s">
        <v>424</v>
      </c>
      <c r="C242" s="331">
        <f>C221-C202</f>
        <v>-9.9000000001069566E-2</v>
      </c>
      <c r="D242" s="331">
        <f t="shared" ref="D242:AH242" si="153">D221-D202+D251+D254</f>
        <v>-68.607898071581076</v>
      </c>
      <c r="E242" s="331">
        <f t="shared" si="153"/>
        <v>-7.384073489281036</v>
      </c>
      <c r="F242" s="331">
        <f t="shared" si="153"/>
        <v>-26.494981149243358</v>
      </c>
      <c r="G242" s="331">
        <f t="shared" si="153"/>
        <v>-14.951661995111863</v>
      </c>
      <c r="H242" s="402">
        <f t="shared" si="153"/>
        <v>-0.10197000000152912</v>
      </c>
      <c r="I242" s="14">
        <f t="shared" si="153"/>
        <v>-86.619186511580665</v>
      </c>
      <c r="J242" s="14">
        <f t="shared" si="153"/>
        <v>-216.56967118892771</v>
      </c>
      <c r="K242" s="14">
        <f t="shared" si="153"/>
        <v>-388.90508600341127</v>
      </c>
      <c r="L242" s="14">
        <f t="shared" si="153"/>
        <v>-629.21448050099025</v>
      </c>
      <c r="M242" s="14">
        <f t="shared" si="153"/>
        <v>-928.64066243539219</v>
      </c>
      <c r="N242" s="187">
        <f t="shared" si="153"/>
        <v>-1298.8383844268974</v>
      </c>
      <c r="O242" s="14">
        <f t="shared" si="153"/>
        <v>-1349.8799306079673</v>
      </c>
      <c r="P242" s="14">
        <f t="shared" si="153"/>
        <v>-1398.0780937920154</v>
      </c>
      <c r="Q242" s="14">
        <f t="shared" si="153"/>
        <v>-1431.7127689071094</v>
      </c>
      <c r="R242" s="14">
        <f t="shared" si="153"/>
        <v>-1483.5859779552457</v>
      </c>
      <c r="S242" s="14">
        <f t="shared" si="153"/>
        <v>-1532.2015270701659</v>
      </c>
      <c r="T242" s="14">
        <f t="shared" si="153"/>
        <v>-1577.830857634136</v>
      </c>
      <c r="U242" s="14">
        <f t="shared" si="153"/>
        <v>-1625.7960904184556</v>
      </c>
      <c r="V242" s="14">
        <f t="shared" si="153"/>
        <v>-1671.1843768933695</v>
      </c>
      <c r="W242" s="14">
        <f t="shared" si="153"/>
        <v>-1719.0824877177756</v>
      </c>
      <c r="X242" s="187">
        <f t="shared" si="153"/>
        <v>-1757.1789273900522</v>
      </c>
      <c r="Y242" s="158">
        <f t="shared" si="153"/>
        <v>-1766.7988930429992</v>
      </c>
      <c r="Z242" s="158">
        <f t="shared" si="153"/>
        <v>-1780.2065391052165</v>
      </c>
      <c r="AA242" s="158">
        <f t="shared" si="153"/>
        <v>-1797.4937566071885</v>
      </c>
      <c r="AB242" s="158">
        <f t="shared" si="153"/>
        <v>-1812.0467456898714</v>
      </c>
      <c r="AC242" s="158">
        <f t="shared" si="153"/>
        <v>-1826.9412710006927</v>
      </c>
      <c r="AD242" s="158">
        <f t="shared" si="153"/>
        <v>-1844.2867071011442</v>
      </c>
      <c r="AE242" s="158">
        <f t="shared" si="153"/>
        <v>-1860.302268732531</v>
      </c>
      <c r="AF242" s="158">
        <f t="shared" si="153"/>
        <v>-1876.8078420749716</v>
      </c>
      <c r="AG242" s="158">
        <f t="shared" si="153"/>
        <v>-1892.4107476019126</v>
      </c>
      <c r="AH242" s="187">
        <f t="shared" si="153"/>
        <v>-1907.1413777193275</v>
      </c>
    </row>
    <row r="243" spans="1:34" s="1" customFormat="1">
      <c r="A243" s="1" t="s">
        <v>405</v>
      </c>
      <c r="B243" s="13"/>
      <c r="C243" s="341">
        <f>C222-C203</f>
        <v>-0.20927000000301632</v>
      </c>
      <c r="D243" s="341">
        <f t="shared" ref="D243:AH243" si="154">D222-D203+D249+D252</f>
        <v>58.078082101957989</v>
      </c>
      <c r="E243" s="341">
        <f t="shared" si="154"/>
        <v>6.0303794019237102</v>
      </c>
      <c r="F243" s="341">
        <f t="shared" si="154"/>
        <v>20.877256329327793</v>
      </c>
      <c r="G243" s="341">
        <f t="shared" si="154"/>
        <v>12.545090699619323</v>
      </c>
      <c r="H243" s="405">
        <f t="shared" si="154"/>
        <v>-0.21554000000833184</v>
      </c>
      <c r="I243" s="15">
        <f t="shared" si="154"/>
        <v>103.4348540825049</v>
      </c>
      <c r="J243" s="15">
        <f t="shared" si="154"/>
        <v>252.58754391277034</v>
      </c>
      <c r="K243" s="15">
        <f t="shared" si="154"/>
        <v>456.00707349222648</v>
      </c>
      <c r="L243" s="15">
        <f t="shared" si="154"/>
        <v>729.02948819021185</v>
      </c>
      <c r="M243" s="15">
        <f t="shared" si="154"/>
        <v>1070.4361706923446</v>
      </c>
      <c r="N243" s="190">
        <f t="shared" si="154"/>
        <v>1493.7731828414762</v>
      </c>
      <c r="O243" s="15">
        <f t="shared" si="154"/>
        <v>1552.2502453669513</v>
      </c>
      <c r="P243" s="15">
        <f t="shared" si="154"/>
        <v>1606.588501933089</v>
      </c>
      <c r="Q243" s="15">
        <f t="shared" si="154"/>
        <v>1648.6159603822671</v>
      </c>
      <c r="R243" s="15">
        <f t="shared" si="154"/>
        <v>1707.1135079305568</v>
      </c>
      <c r="S243" s="15">
        <f t="shared" si="154"/>
        <v>1762.0464482986972</v>
      </c>
      <c r="T243" s="15">
        <f t="shared" si="154"/>
        <v>1813.7327648123501</v>
      </c>
      <c r="U243" s="15">
        <f t="shared" si="154"/>
        <v>1868.0498036301069</v>
      </c>
      <c r="V243" s="15">
        <f t="shared" si="154"/>
        <v>1920.1626828697699</v>
      </c>
      <c r="W243" s="15">
        <f t="shared" si="154"/>
        <v>1974.4967628513878</v>
      </c>
      <c r="X243" s="190">
        <f t="shared" si="154"/>
        <v>2018.3811606263116</v>
      </c>
      <c r="Y243" s="130">
        <f t="shared" si="154"/>
        <v>2030.0260430380222</v>
      </c>
      <c r="Z243" s="130">
        <f t="shared" si="154"/>
        <v>2045.737935868885</v>
      </c>
      <c r="AA243" s="130">
        <f t="shared" si="154"/>
        <v>2064.7151893018781</v>
      </c>
      <c r="AB243" s="130">
        <f t="shared" si="154"/>
        <v>2082.0298355629056</v>
      </c>
      <c r="AC243" s="130">
        <f t="shared" si="154"/>
        <v>2099.6006430664493</v>
      </c>
      <c r="AD243" s="130">
        <f t="shared" si="154"/>
        <v>2119.183793372049</v>
      </c>
      <c r="AE243" s="130">
        <f t="shared" si="154"/>
        <v>2136.7173766832493</v>
      </c>
      <c r="AF243" s="130">
        <f t="shared" si="154"/>
        <v>2154.826517374222</v>
      </c>
      <c r="AG243" s="130">
        <f t="shared" si="154"/>
        <v>2171.8593461994969</v>
      </c>
      <c r="AH243" s="190">
        <f t="shared" si="154"/>
        <v>2187.8653050914436</v>
      </c>
    </row>
    <row r="244" spans="1:34">
      <c r="A244" t="s">
        <v>445</v>
      </c>
      <c r="C244" s="331"/>
      <c r="D244" s="331">
        <f>D231+D234</f>
        <v>42.461450612599606</v>
      </c>
      <c r="E244" s="331">
        <f t="shared" ref="E244:N244" si="155">E231+E234</f>
        <v>1.2948500455555632</v>
      </c>
      <c r="F244" s="331">
        <f t="shared" si="155"/>
        <v>1.9100751839987424</v>
      </c>
      <c r="G244" s="331">
        <f t="shared" si="155"/>
        <v>3.76083627606954</v>
      </c>
      <c r="H244" s="402">
        <f t="shared" si="155"/>
        <v>-2.7000000000043656E-4</v>
      </c>
      <c r="I244" s="14">
        <f t="shared" si="155"/>
        <v>318.7920140692579</v>
      </c>
      <c r="J244" s="14">
        <f t="shared" si="155"/>
        <v>740.90512711484234</v>
      </c>
      <c r="K244" s="14">
        <f t="shared" si="155"/>
        <v>1347.7082763876824</v>
      </c>
      <c r="L244" s="14">
        <f t="shared" si="155"/>
        <v>2102.4623910048044</v>
      </c>
      <c r="M244" s="14">
        <f t="shared" si="155"/>
        <v>3052.0720730608009</v>
      </c>
      <c r="N244" s="187">
        <f t="shared" si="155"/>
        <v>4235.7653277427044</v>
      </c>
      <c r="O244" s="14">
        <f>O231+O234</f>
        <v>4402.1020629702716</v>
      </c>
      <c r="P244" s="14">
        <f t="shared" ref="P244:AH244" si="156">P231+P234</f>
        <v>4551.851980645115</v>
      </c>
      <c r="Q244" s="14">
        <f t="shared" si="156"/>
        <v>4692.1473693004618</v>
      </c>
      <c r="R244" s="14">
        <f t="shared" si="156"/>
        <v>4853.2064587638324</v>
      </c>
      <c r="S244" s="14">
        <f t="shared" si="156"/>
        <v>5005.3425145043293</v>
      </c>
      <c r="T244" s="14">
        <f t="shared" si="156"/>
        <v>5149.2728378518532</v>
      </c>
      <c r="U244" s="14">
        <f t="shared" si="156"/>
        <v>5300.2955407243244</v>
      </c>
      <c r="V244" s="14">
        <f t="shared" si="156"/>
        <v>5449.4276645193022</v>
      </c>
      <c r="W244" s="14">
        <f t="shared" si="156"/>
        <v>5601.05279205632</v>
      </c>
      <c r="X244" s="187">
        <f t="shared" si="156"/>
        <v>5727.9811184497539</v>
      </c>
      <c r="Y244" s="158">
        <f t="shared" si="156"/>
        <v>5766.6925887904181</v>
      </c>
      <c r="Z244" s="158">
        <f t="shared" si="156"/>
        <v>5815.1796003478612</v>
      </c>
      <c r="AA244" s="158">
        <f t="shared" si="156"/>
        <v>5866.0724209732307</v>
      </c>
      <c r="AB244" s="158">
        <f t="shared" si="156"/>
        <v>5920.6672679719341</v>
      </c>
      <c r="AC244" s="158">
        <f t="shared" si="156"/>
        <v>5975.2091280029126</v>
      </c>
      <c r="AD244" s="158">
        <f t="shared" si="156"/>
        <v>6030.855245763837</v>
      </c>
      <c r="AE244" s="158">
        <f t="shared" si="156"/>
        <v>6077.7774080297404</v>
      </c>
      <c r="AF244" s="158">
        <f t="shared" si="156"/>
        <v>6126.3946175898227</v>
      </c>
      <c r="AG244" s="158">
        <f t="shared" si="156"/>
        <v>6171.7398533904079</v>
      </c>
      <c r="AH244" s="187">
        <f t="shared" si="156"/>
        <v>6214.0526580544683</v>
      </c>
    </row>
    <row r="245" spans="1:34">
      <c r="A245" t="s">
        <v>446</v>
      </c>
      <c r="D245" s="331">
        <f>D231+D234+D237</f>
        <v>202.9169780308481</v>
      </c>
      <c r="E245" s="331">
        <f t="shared" ref="E245:N245" si="157">E231+E234+E237</f>
        <v>21.618978990408095</v>
      </c>
      <c r="F245" s="331">
        <f t="shared" si="157"/>
        <v>76.811105422172318</v>
      </c>
      <c r="G245" s="331">
        <f t="shared" si="157"/>
        <v>44.109710467079367</v>
      </c>
      <c r="H245" s="402">
        <f t="shared" si="157"/>
        <v>-2.7000000000043656E-4</v>
      </c>
      <c r="I245" s="14">
        <f t="shared" si="157"/>
        <v>286.29758116251116</v>
      </c>
      <c r="J245" s="14">
        <f t="shared" si="157"/>
        <v>709.79018308939794</v>
      </c>
      <c r="K245" s="14">
        <f t="shared" si="157"/>
        <v>1277.0289217216482</v>
      </c>
      <c r="L245" s="14">
        <f t="shared" si="157"/>
        <v>2057.3711692478587</v>
      </c>
      <c r="M245" s="14">
        <f t="shared" si="157"/>
        <v>3030.8997913892881</v>
      </c>
      <c r="N245" s="187">
        <f t="shared" si="157"/>
        <v>4235.7653277427044</v>
      </c>
      <c r="O245" s="14">
        <f>O231+O234+O237</f>
        <v>4401.9967655393284</v>
      </c>
      <c r="P245" s="14">
        <f t="shared" ref="P245:AH245" si="158">P231+P234+P237</f>
        <v>4558.0866999384589</v>
      </c>
      <c r="Q245" s="14">
        <f t="shared" si="158"/>
        <v>4671.1206947417213</v>
      </c>
      <c r="R245" s="14">
        <f t="shared" si="158"/>
        <v>4839.12835028052</v>
      </c>
      <c r="S245" s="14">
        <f t="shared" si="158"/>
        <v>4996.694116557931</v>
      </c>
      <c r="T245" s="14">
        <f t="shared" si="158"/>
        <v>5144.7090198177448</v>
      </c>
      <c r="U245" s="14">
        <f t="shared" si="158"/>
        <v>5300.2859945135115</v>
      </c>
      <c r="V245" s="14">
        <f t="shared" si="158"/>
        <v>5448.2185896446617</v>
      </c>
      <c r="W245" s="14">
        <f t="shared" si="158"/>
        <v>5603.6709035889144</v>
      </c>
      <c r="X245" s="187">
        <f t="shared" si="158"/>
        <v>5727.9811184497539</v>
      </c>
      <c r="Y245" s="158">
        <f t="shared" si="158"/>
        <v>5759.9348172399132</v>
      </c>
      <c r="Z245" s="158">
        <f t="shared" si="158"/>
        <v>5803.9517406465657</v>
      </c>
      <c r="AA245" s="158">
        <f t="shared" si="158"/>
        <v>5859.424231028167</v>
      </c>
      <c r="AB245" s="158">
        <f t="shared" si="158"/>
        <v>5907.4618542415201</v>
      </c>
      <c r="AC245" s="158">
        <f t="shared" si="158"/>
        <v>5956.4766596234713</v>
      </c>
      <c r="AD245" s="158">
        <f t="shared" si="158"/>
        <v>6012.6779528077977</v>
      </c>
      <c r="AE245" s="158">
        <f t="shared" si="158"/>
        <v>6064.0221662297045</v>
      </c>
      <c r="AF245" s="158">
        <f t="shared" si="158"/>
        <v>6116.9764061991582</v>
      </c>
      <c r="AG245" s="158">
        <f t="shared" si="158"/>
        <v>6166.9487022479734</v>
      </c>
      <c r="AH245" s="187">
        <f t="shared" si="158"/>
        <v>6214.0526580544683</v>
      </c>
    </row>
    <row r="246" spans="1:34" s="1" customFormat="1">
      <c r="A246" s="1" t="s">
        <v>449</v>
      </c>
      <c r="B246" s="13"/>
      <c r="C246" s="328"/>
      <c r="D246" s="341">
        <f>D243</f>
        <v>58.078082101957989</v>
      </c>
      <c r="E246" s="341">
        <f>D246+E243</f>
        <v>64.108461503881699</v>
      </c>
      <c r="F246" s="341">
        <f>E246+F243</f>
        <v>84.985717833209492</v>
      </c>
      <c r="G246" s="341">
        <f>F246+G243</f>
        <v>97.530808532828814</v>
      </c>
      <c r="H246" s="405"/>
      <c r="I246" s="15">
        <f t="shared" ref="I246:X246" si="159">H246+I243</f>
        <v>103.4348540825049</v>
      </c>
      <c r="J246" s="15">
        <f t="shared" si="159"/>
        <v>356.02239799527524</v>
      </c>
      <c r="K246" s="15">
        <f t="shared" si="159"/>
        <v>812.02947148750172</v>
      </c>
      <c r="L246" s="15">
        <f t="shared" si="159"/>
        <v>1541.0589596777136</v>
      </c>
      <c r="M246" s="15">
        <f t="shared" si="159"/>
        <v>2611.4951303700582</v>
      </c>
      <c r="N246" s="190">
        <f t="shared" si="159"/>
        <v>4105.2683132115344</v>
      </c>
      <c r="O246" s="15">
        <f t="shared" si="159"/>
        <v>5657.5185585784857</v>
      </c>
      <c r="P246" s="15">
        <f t="shared" si="159"/>
        <v>7264.1070605115747</v>
      </c>
      <c r="Q246" s="15">
        <f t="shared" si="159"/>
        <v>8912.7230208938417</v>
      </c>
      <c r="R246" s="15">
        <f t="shared" si="159"/>
        <v>10619.836528824399</v>
      </c>
      <c r="S246" s="15">
        <f t="shared" si="159"/>
        <v>12381.882977123096</v>
      </c>
      <c r="T246" s="15">
        <f t="shared" si="159"/>
        <v>14195.615741935446</v>
      </c>
      <c r="U246" s="15">
        <f t="shared" si="159"/>
        <v>16063.665545565553</v>
      </c>
      <c r="V246" s="15">
        <f t="shared" si="159"/>
        <v>17983.828228435323</v>
      </c>
      <c r="W246" s="15">
        <f t="shared" si="159"/>
        <v>19958.32499128671</v>
      </c>
      <c r="X246" s="190">
        <f t="shared" si="159"/>
        <v>21976.706151913022</v>
      </c>
      <c r="Y246" s="130">
        <f t="shared" ref="Y246:AH246" si="160">X246+Y243</f>
        <v>24006.732194951044</v>
      </c>
      <c r="Z246" s="130">
        <f t="shared" si="160"/>
        <v>26052.470130819929</v>
      </c>
      <c r="AA246" s="130">
        <f t="shared" si="160"/>
        <v>28117.185320121807</v>
      </c>
      <c r="AB246" s="130">
        <f t="shared" si="160"/>
        <v>30199.215155684713</v>
      </c>
      <c r="AC246" s="130">
        <f t="shared" si="160"/>
        <v>32298.815798751162</v>
      </c>
      <c r="AD246" s="130">
        <f t="shared" si="160"/>
        <v>34417.999592123211</v>
      </c>
      <c r="AE246" s="130">
        <f t="shared" si="160"/>
        <v>36554.71696880646</v>
      </c>
      <c r="AF246" s="130">
        <f t="shared" si="160"/>
        <v>38709.543486180686</v>
      </c>
      <c r="AG246" s="130">
        <f t="shared" si="160"/>
        <v>40881.402832380183</v>
      </c>
      <c r="AH246" s="190">
        <f t="shared" si="160"/>
        <v>43069.268137471627</v>
      </c>
    </row>
    <row r="247" spans="1:34">
      <c r="A247" t="s">
        <v>458</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439</v>
      </c>
    </row>
    <row r="249" spans="1:34" s="1" customFormat="1">
      <c r="A249" s="1" t="s">
        <v>440</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5" activePane="bottomRight" state="frozen"/>
      <selection pane="topRight" activeCell="C1" sqref="C1"/>
      <selection pane="bottomLeft" activeCell="A3" sqref="A3"/>
      <selection pane="bottomRight" activeCell="AG13" sqref="AG13:AH13"/>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70746</v>
      </c>
      <c r="D4" s="329">
        <f>EIA_electricity_aeo2014!F58 * 1000</f>
        <v>80751</v>
      </c>
      <c r="E4" s="329">
        <f>EIA_electricity_aeo2014!G58 * 1000</f>
        <v>86625.554610146079</v>
      </c>
      <c r="F4" s="329">
        <f>EIA_electricity_aeo2014!H58 * 1000</f>
        <v>74468.297308305671</v>
      </c>
      <c r="G4" s="329">
        <f>EIA_electricity_aeo2014!I58 * 1000</f>
        <v>85669.826734839327</v>
      </c>
      <c r="H4" s="21">
        <f>EIA_electricity_aeo2014!J58 * 1000</f>
        <v>85759.423910434591</v>
      </c>
      <c r="I4" s="21">
        <f>EIA_electricity_aeo2014!K58 * 1000</f>
        <v>84217.606640667334</v>
      </c>
      <c r="J4" s="21">
        <f>EIA_electricity_aeo2014!L58 * 1000</f>
        <v>83652.232692376972</v>
      </c>
      <c r="K4" s="21">
        <f>EIA_electricity_aeo2014!M58 * 1000</f>
        <v>85173.132324070175</v>
      </c>
      <c r="L4" s="21">
        <f>EIA_electricity_aeo2014!N58 * 1000</f>
        <v>86117.924864303553</v>
      </c>
      <c r="M4" s="21">
        <f>EIA_electricity_aeo2014!O58 * 1000</f>
        <v>86817.180209456841</v>
      </c>
      <c r="N4" s="388">
        <f>EIA_electricity_aeo2014!P58 * 1000</f>
        <v>87163.788533591098</v>
      </c>
      <c r="O4" s="21">
        <f>EIA_electricity_aeo2014!Q58 * 1000</f>
        <v>87760.758390363102</v>
      </c>
      <c r="P4" s="21">
        <f>EIA_electricity_aeo2014!R58 * 1000</f>
        <v>88043.940903831768</v>
      </c>
      <c r="Q4" s="21">
        <f>EIA_electricity_aeo2014!S58 * 1000</f>
        <v>88137.011947216408</v>
      </c>
      <c r="R4" s="21">
        <f>EIA_electricity_aeo2014!T58 * 1000</f>
        <v>88484.647854531111</v>
      </c>
      <c r="S4" s="21">
        <f>EIA_electricity_aeo2014!U58 * 1000</f>
        <v>88657.000350939605</v>
      </c>
      <c r="T4" s="21">
        <f>EIA_electricity_aeo2014!V58 * 1000</f>
        <v>88676.236201463151</v>
      </c>
      <c r="U4" s="21">
        <f>EIA_electricity_aeo2014!W58 * 1000</f>
        <v>88747.887582435578</v>
      </c>
      <c r="V4" s="21">
        <f>EIA_electricity_aeo2014!X58 * 1000</f>
        <v>88748.593576980682</v>
      </c>
      <c r="W4" s="21">
        <f>EIA_electricity_aeo2014!Y58 * 1000</f>
        <v>88738.552552004097</v>
      </c>
      <c r="X4" s="388">
        <f>EIA_electricity_aeo2014!Z58 * 1000</f>
        <v>88385.269141001074</v>
      </c>
      <c r="Y4" s="21">
        <f>EIA_electricity_aeo2014!AA58 * 1000</f>
        <v>88209.751844240775</v>
      </c>
      <c r="Z4" s="21">
        <f>EIA_electricity_aeo2014!AB58 * 1000</f>
        <v>88150.003964011863</v>
      </c>
      <c r="AA4" s="21">
        <f>EIA_electricity_aeo2014!AC58 * 1000</f>
        <v>88137.374668403354</v>
      </c>
      <c r="AB4" s="21">
        <f>EIA_electricity_aeo2014!AD58 * 1000</f>
        <v>88194.255277722084</v>
      </c>
      <c r="AC4" s="21">
        <f>EIA_electricity_aeo2014!AE58 * 1000</f>
        <v>88220.39808008977</v>
      </c>
      <c r="AD4" s="21">
        <f>EIA_electricity_aeo2014!AF58 * 1000</f>
        <v>88234.769047779919</v>
      </c>
      <c r="AE4" s="21">
        <f>EIA_electricity_aeo2014!AG58 * 1000</f>
        <v>88205.238635252317</v>
      </c>
      <c r="AF4" s="21">
        <f>EIA_electricity_aeo2014!AH58 * 1000</f>
        <v>88167.078204150923</v>
      </c>
      <c r="AG4" s="21">
        <f>EIA_electricity_aeo2014!AI58 * 1000</f>
        <v>88159.74403376336</v>
      </c>
      <c r="AH4" s="21">
        <f>EIA_electricity_aeo2014!AJ58 * 1000</f>
        <v>88169.595336313854</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1645.99</v>
      </c>
      <c r="D7" s="330">
        <f>EIA_RE_aeo2014!F73*1000-D15</f>
        <v>1366.99</v>
      </c>
      <c r="E7" s="330">
        <f>EIA_RE_aeo2014!G73*1000-E15</f>
        <v>2054.0341655135976</v>
      </c>
      <c r="F7" s="330">
        <f>EIA_RE_aeo2014!H73*1000-F15</f>
        <v>1611.4977455670212</v>
      </c>
      <c r="G7" s="330">
        <f>EIA_RE_aeo2014!I73*1000-G15</f>
        <v>2069.0108637436265</v>
      </c>
      <c r="H7" s="174">
        <f>EIA_RE_aeo2014!J73*1000-H15</f>
        <v>2215.5324625448684</v>
      </c>
      <c r="I7" s="174">
        <f>EIA_RE_aeo2014!K73*1000-I15</f>
        <v>2351.6114470353559</v>
      </c>
      <c r="J7" s="174">
        <f>EIA_RE_aeo2014!L73*1000-J15</f>
        <v>2393.2292344785114</v>
      </c>
      <c r="K7" s="174">
        <f>EIA_RE_aeo2014!M73*1000-K15</f>
        <v>2636.1760331908263</v>
      </c>
      <c r="L7" s="174">
        <f>EIA_RE_aeo2014!N73*1000-L15</f>
        <v>2636.1760331908263</v>
      </c>
      <c r="M7" s="174">
        <f>EIA_RE_aeo2014!O73*1000-M15</f>
        <v>2636.1760331908263</v>
      </c>
      <c r="N7" s="184">
        <f>EIA_RE_aeo2014!P73*1000-N15</f>
        <v>2636.1758240541149</v>
      </c>
      <c r="O7" s="174">
        <f>EIA_RE_aeo2014!Q73*1000-O15</f>
        <v>2668.1933998630298</v>
      </c>
      <c r="P7" s="174">
        <f>EIA_RE_aeo2014!R73*1000-P15</f>
        <v>2668.1933998630298</v>
      </c>
      <c r="Q7" s="174">
        <f>EIA_RE_aeo2014!S73*1000-Q15</f>
        <v>2780.3427526133314</v>
      </c>
      <c r="R7" s="174">
        <f>EIA_RE_aeo2014!T73*1000-R15</f>
        <v>2780.3427526133314</v>
      </c>
      <c r="S7" s="83">
        <f>EIA_RE_aeo2014!U73*1000-S15</f>
        <v>2780.3427526133314</v>
      </c>
      <c r="T7" s="83">
        <f>EIA_RE_aeo2014!V73*1000-T15</f>
        <v>2780.3427526133314</v>
      </c>
      <c r="U7" s="83">
        <f>EIA_RE_aeo2014!W73*1000-U15</f>
        <v>2780.3427526133314</v>
      </c>
      <c r="V7" s="83">
        <f>EIA_RE_aeo2014!X73*1000-V15</f>
        <v>2798.3201443891967</v>
      </c>
      <c r="W7" s="83">
        <f>EIA_RE_aeo2014!Y73*1000-W15</f>
        <v>2798.3201443891967</v>
      </c>
      <c r="X7" s="184">
        <f>EIA_RE_aeo2014!Z73*1000-X15</f>
        <v>2810.0194612032233</v>
      </c>
      <c r="Y7" s="174">
        <f>EIA_RE_aeo2014!AA73*1000-Y15</f>
        <v>2844.6395342580536</v>
      </c>
      <c r="Z7" s="174">
        <f>EIA_RE_aeo2014!AB73*1000-Z15</f>
        <v>2874.8909505329152</v>
      </c>
      <c r="AA7" s="174">
        <f>EIA_RE_aeo2014!AC73*1000-AA15</f>
        <v>2874.8909505329152</v>
      </c>
      <c r="AB7" s="174">
        <f>EIA_RE_aeo2014!AD73*1000-AB15</f>
        <v>2916.224939457692</v>
      </c>
      <c r="AC7" s="174">
        <f>EIA_RE_aeo2014!AE73*1000-AC15</f>
        <v>2952.959593809006</v>
      </c>
      <c r="AD7" s="174">
        <f>EIA_RE_aeo2014!AF73*1000-AD15</f>
        <v>2967.9754006042062</v>
      </c>
      <c r="AE7" s="174">
        <f>EIA_RE_aeo2014!AG73*1000-AE15</f>
        <v>2967.9754006042062</v>
      </c>
      <c r="AF7" s="174">
        <f>EIA_RE_aeo2014!AH73*1000-AF15</f>
        <v>2967.9754006042062</v>
      </c>
      <c r="AG7" s="174">
        <f>EIA_RE_aeo2014!AI73*1000-AG15</f>
        <v>2967.9754006042062</v>
      </c>
      <c r="AH7" s="174">
        <f>EIA_RE_aeo2014!AJ73*1000-AH15</f>
        <v>2967.9754006042062</v>
      </c>
    </row>
    <row r="8" spans="1:34">
      <c r="A8" s="9" t="s">
        <v>59</v>
      </c>
      <c r="B8" s="34">
        <v>0</v>
      </c>
      <c r="C8" s="330">
        <f>EIA_electricity_aeo2014!E52*1000</f>
        <v>0</v>
      </c>
      <c r="D8" s="330">
        <f>EIA_electricity_aeo2014!F52*1000</f>
        <v>0</v>
      </c>
      <c r="E8" s="330">
        <f>EIA_electricity_aeo2014!G52*1000</f>
        <v>0</v>
      </c>
      <c r="F8" s="330">
        <f>EIA_electricity_aeo2014!H52*1000</f>
        <v>0</v>
      </c>
      <c r="G8" s="330">
        <f>EIA_electricity_aeo2014!I52*1000</f>
        <v>0</v>
      </c>
      <c r="H8" s="3">
        <f>EIA_electricity_aeo2014!J52*1000</f>
        <v>0</v>
      </c>
      <c r="I8" s="3">
        <f>EIA_electricity_aeo2014!K52*1000</f>
        <v>0</v>
      </c>
      <c r="J8" s="3">
        <f>EIA_electricity_aeo2014!L52*1000</f>
        <v>0</v>
      </c>
      <c r="K8" s="3">
        <f>EIA_electricity_aeo2014!M52*1000</f>
        <v>0</v>
      </c>
      <c r="L8" s="3">
        <f>EIA_electricity_aeo2014!N52*1000</f>
        <v>0</v>
      </c>
      <c r="M8" s="3">
        <f>EIA_electricity_aeo2014!O52*1000</f>
        <v>0</v>
      </c>
      <c r="N8" s="388">
        <f>EIA_electricity_aeo2014!P52*1000</f>
        <v>0</v>
      </c>
      <c r="O8" s="3">
        <f>EIA_electricity_aeo2014!Q52*1000</f>
        <v>0</v>
      </c>
      <c r="P8" s="3">
        <f>EIA_electricity_aeo2014!R52*1000</f>
        <v>0</v>
      </c>
      <c r="Q8" s="3">
        <f>EIA_electricity_aeo2014!S52*1000</f>
        <v>0</v>
      </c>
      <c r="R8" s="3">
        <f>EIA_electricity_aeo2014!T52*1000</f>
        <v>0</v>
      </c>
      <c r="S8" s="3">
        <f>EIA_electricity_aeo2014!U52*1000</f>
        <v>0</v>
      </c>
      <c r="T8" s="3">
        <f>EIA_electricity_aeo2014!V52*1000</f>
        <v>0</v>
      </c>
      <c r="U8" s="3">
        <f>EIA_electricity_aeo2014!W52*1000</f>
        <v>0</v>
      </c>
      <c r="V8" s="3">
        <f>EIA_electricity_aeo2014!X52*1000</f>
        <v>0</v>
      </c>
      <c r="W8" s="3">
        <f>EIA_electricity_aeo2014!Y52*1000</f>
        <v>0</v>
      </c>
      <c r="X8" s="184">
        <f>EIA_electricity_aeo2014!Z52*1000</f>
        <v>0</v>
      </c>
      <c r="Y8" s="174">
        <f>EIA_electricity_aeo2014!AA52*1000</f>
        <v>0</v>
      </c>
      <c r="Z8" s="174">
        <f>EIA_electricity_aeo2014!AB52*1000</f>
        <v>0</v>
      </c>
      <c r="AA8" s="174">
        <f>EIA_electricity_aeo2014!AC52*1000</f>
        <v>0</v>
      </c>
      <c r="AB8" s="174">
        <f>EIA_electricity_aeo2014!AD52*1000</f>
        <v>0</v>
      </c>
      <c r="AC8" s="174">
        <f>EIA_electricity_aeo2014!AE52*1000</f>
        <v>0</v>
      </c>
      <c r="AD8" s="174">
        <f>EIA_electricity_aeo2014!AF52*1000</f>
        <v>0</v>
      </c>
      <c r="AE8" s="174">
        <f>EIA_electricity_aeo2014!AG52*1000</f>
        <v>0</v>
      </c>
      <c r="AF8" s="174">
        <f>EIA_electricity_aeo2014!AH52*1000</f>
        <v>0</v>
      </c>
      <c r="AG8" s="174">
        <f>EIA_electricity_aeo2014!AI52*1000</f>
        <v>0</v>
      </c>
      <c r="AH8" s="174">
        <f>EIA_electricity_aeo2014!AJ52*1000</f>
        <v>0</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1</v>
      </c>
      <c r="D10" s="330">
        <f>EIA_RE_aeo2014!F76*1000</f>
        <v>0</v>
      </c>
      <c r="E10" s="330">
        <f>EIA_RE_aeo2014!G76*1000</f>
        <v>0.21860765625</v>
      </c>
      <c r="F10" s="330">
        <f>EIA_RE_aeo2014!H76*1000</f>
        <v>0.21052703125000002</v>
      </c>
      <c r="G10" s="330">
        <f>EIA_RE_aeo2014!I76*1000</f>
        <v>0.22905640625000004</v>
      </c>
      <c r="H10" s="83">
        <f>EIA_RE_aeo2014!J76*1000</f>
        <v>0.26013578125000003</v>
      </c>
      <c r="I10" s="174">
        <f>EIA_RE_aeo2014!K76*1000</f>
        <v>0.30720343749999995</v>
      </c>
      <c r="J10" s="174">
        <f>EIA_RE_aeo2014!L76*1000</f>
        <v>0.43281515625000005</v>
      </c>
      <c r="K10" s="174">
        <f>EIA_RE_aeo2014!M76*1000</f>
        <v>0.80952625000000011</v>
      </c>
      <c r="L10" s="174">
        <f>EIA_RE_aeo2014!N76*1000</f>
        <v>1.3440065624999999</v>
      </c>
      <c r="M10" s="174">
        <f>EIA_RE_aeo2014!O76*1000</f>
        <v>1.3519698437499998</v>
      </c>
      <c r="N10" s="184">
        <f>EIA_RE_aeo2014!P76*1000</f>
        <v>1.4695453125000004</v>
      </c>
      <c r="O10" s="174">
        <f>EIA_RE_aeo2014!Q76*1000</f>
        <v>1.53914</v>
      </c>
      <c r="P10" s="174">
        <f>EIA_RE_aeo2014!R76*1000</f>
        <v>1.6563935937500003</v>
      </c>
      <c r="Q10" s="174">
        <f>EIA_RE_aeo2014!S76*1000</f>
        <v>2.036839375</v>
      </c>
      <c r="R10" s="174">
        <f>EIA_RE_aeo2014!T76*1000</f>
        <v>2.0571324999999998</v>
      </c>
      <c r="S10" s="83">
        <f>EIA_RE_aeo2014!U76*1000</f>
        <v>2.2751770312500001</v>
      </c>
      <c r="T10" s="83">
        <f>EIA_RE_aeo2014!V76*1000</f>
        <v>2.3164151562500002</v>
      </c>
      <c r="U10" s="83">
        <f>EIA_RE_aeo2014!W76*1000</f>
        <v>2.3206464062500003</v>
      </c>
      <c r="V10" s="83">
        <f>EIA_RE_aeo2014!X76*1000</f>
        <v>2.3742909374999996</v>
      </c>
      <c r="W10" s="83">
        <f>EIA_RE_aeo2014!Y76*1000</f>
        <v>2.41373640625</v>
      </c>
      <c r="X10" s="184">
        <f>EIA_RE_aeo2014!Z76*1000</f>
        <v>2.7153107812499999</v>
      </c>
      <c r="Y10" s="174">
        <f>EIA_RE_aeo2014!AA76*1000</f>
        <v>2.9082673437500004</v>
      </c>
      <c r="Z10" s="174">
        <f>EIA_RE_aeo2014!AB76*1000</f>
        <v>2.9759620312500004</v>
      </c>
      <c r="AA10" s="174">
        <f>EIA_RE_aeo2014!AC76*1000</f>
        <v>2.9884387499999998</v>
      </c>
      <c r="AB10" s="174">
        <f>EIA_RE_aeo2014!AD76*1000</f>
        <v>2.99662125</v>
      </c>
      <c r="AC10" s="174">
        <f>EIA_RE_aeo2014!AE76*1000</f>
        <v>2.9984410937499999</v>
      </c>
      <c r="AD10" s="174">
        <f>EIA_RE_aeo2014!AF76*1000</f>
        <v>2.9858289062499996</v>
      </c>
      <c r="AE10" s="174">
        <f>EIA_RE_aeo2014!AG76*1000</f>
        <v>3.0033979687499999</v>
      </c>
      <c r="AF10" s="174">
        <f>EIA_RE_aeo2014!AH76*1000</f>
        <v>3.0209945312500004</v>
      </c>
      <c r="AG10" s="174">
        <f>EIA_RE_aeo2014!AI76*1000</f>
        <v>3.0189046875000001</v>
      </c>
      <c r="AH10" s="174">
        <f>EIA_RE_aeo2014!AJ76*1000</f>
        <v>3.0265734374999997</v>
      </c>
    </row>
    <row r="11" spans="1:34" s="20" customFormat="1">
      <c r="A11" s="9" t="s">
        <v>50</v>
      </c>
      <c r="B11" s="35">
        <v>1</v>
      </c>
      <c r="C11" s="330">
        <f>EIA_RE_aeo2014!E74*1000</f>
        <v>0</v>
      </c>
      <c r="D11" s="330">
        <f>EIA_RE_aeo2014!F74*1000</f>
        <v>0</v>
      </c>
      <c r="E11" s="330">
        <f>EIA_RE_aeo2014!G74*1000</f>
        <v>1.0000000000000001E-7</v>
      </c>
      <c r="F11" s="330">
        <f>EIA_RE_aeo2014!H74*1000</f>
        <v>1.0000000000000001E-7</v>
      </c>
      <c r="G11" s="330">
        <f>EIA_RE_aeo2014!I74*1000</f>
        <v>1.0000000000000001E-7</v>
      </c>
      <c r="H11" s="83">
        <f>EIA_RE_aeo2014!J74*1000</f>
        <v>1.0000000000000001E-7</v>
      </c>
      <c r="I11" s="83">
        <f>EIA_RE_aeo2014!K74*1000</f>
        <v>1.0000000000000001E-7</v>
      </c>
      <c r="J11" s="83">
        <f>EIA_RE_aeo2014!L74*1000</f>
        <v>1.0000000000000001E-7</v>
      </c>
      <c r="K11" s="83">
        <f>EIA_RE_aeo2014!M74*1000</f>
        <v>1.0000000000000001E-7</v>
      </c>
      <c r="L11" s="83">
        <f>EIA_RE_aeo2014!N74*1000</f>
        <v>1.0000000000000001E-7</v>
      </c>
      <c r="M11" s="83">
        <f>EIA_RE_aeo2014!O74*1000</f>
        <v>1.0000000000000001E-7</v>
      </c>
      <c r="N11" s="388">
        <f>EIA_RE_aeo2014!P74*1000</f>
        <v>1.0000000000000001E-7</v>
      </c>
      <c r="O11" s="83">
        <f>EIA_RE_aeo2014!Q74*1000</f>
        <v>1.0000000000000001E-7</v>
      </c>
      <c r="P11" s="83">
        <f>EIA_RE_aeo2014!R74*1000</f>
        <v>1.0000000000000001E-7</v>
      </c>
      <c r="Q11" s="83">
        <f>EIA_RE_aeo2014!S74*1000</f>
        <v>1.0000000000000001E-7</v>
      </c>
      <c r="R11" s="83">
        <f>EIA_RE_aeo2014!T74*1000</f>
        <v>1.0000000000000001E-7</v>
      </c>
      <c r="S11" s="83">
        <f>EIA_RE_aeo2014!U74*1000</f>
        <v>1.0000000000000001E-7</v>
      </c>
      <c r="T11" s="83">
        <f>EIA_RE_aeo2014!V74*1000</f>
        <v>1.0000000000000001E-7</v>
      </c>
      <c r="U11" s="83">
        <f>EIA_RE_aeo2014!W74*1000</f>
        <v>1.0000000000000001E-7</v>
      </c>
      <c r="V11" s="83">
        <f>EIA_RE_aeo2014!X74*1000</f>
        <v>1.0000000000000001E-7</v>
      </c>
      <c r="W11" s="83">
        <f>EIA_RE_aeo2014!Y74*1000</f>
        <v>1.0000000000000001E-7</v>
      </c>
      <c r="X11" s="184">
        <f>EIA_RE_aeo2014!Z74*1000</f>
        <v>1.0000000000000001E-7</v>
      </c>
      <c r="Y11" s="174">
        <f>EIA_RE_aeo2014!AA74*1000</f>
        <v>1.0000000000000001E-7</v>
      </c>
      <c r="Z11" s="174">
        <f>EIA_RE_aeo2014!AB74*1000</f>
        <v>1.0000000000000001E-7</v>
      </c>
      <c r="AA11" s="174">
        <f>EIA_RE_aeo2014!AC74*1000</f>
        <v>1.0000000000000001E-7</v>
      </c>
      <c r="AB11" s="174">
        <f>EIA_RE_aeo2014!AD74*1000</f>
        <v>1.0000000000000001E-7</v>
      </c>
      <c r="AC11" s="174">
        <f>EIA_RE_aeo2014!AE74*1000</f>
        <v>1.0000000000000001E-7</v>
      </c>
      <c r="AD11" s="174">
        <f>EIA_RE_aeo2014!AF74*1000</f>
        <v>1.0000000000000001E-7</v>
      </c>
      <c r="AE11" s="174">
        <f>EIA_RE_aeo2014!AG74*1000</f>
        <v>1.0000000000000001E-7</v>
      </c>
      <c r="AF11" s="174">
        <f>EIA_RE_aeo2014!AH74*1000</f>
        <v>1.0000000000000001E-7</v>
      </c>
      <c r="AG11" s="174">
        <f>EIA_RE_aeo2014!AI74*1000</f>
        <v>1.0000000000000001E-7</v>
      </c>
      <c r="AH11" s="174">
        <f>EIA_RE_aeo2014!AJ74*1000</f>
        <v>1.0000000000000001E-7</v>
      </c>
    </row>
    <row r="12" spans="1:34" s="20" customFormat="1">
      <c r="A12" s="9" t="s">
        <v>51</v>
      </c>
      <c r="B12" s="35">
        <v>1</v>
      </c>
      <c r="C12" s="330">
        <f>EIA_RE_aeo2014!E75*1000</f>
        <v>0</v>
      </c>
      <c r="D12" s="330">
        <f>EIA_RE_aeo2014!F75*1000</f>
        <v>0</v>
      </c>
      <c r="E12" s="330">
        <f>EIA_RE_aeo2014!G75*1000</f>
        <v>4.4205850000000005E-2</v>
      </c>
      <c r="F12" s="330">
        <f>EIA_RE_aeo2014!H75*1000</f>
        <v>4.8728860000000006E-2</v>
      </c>
      <c r="G12" s="330">
        <f>EIA_RE_aeo2014!I75*1000</f>
        <v>5.9408130000000003E-2</v>
      </c>
      <c r="H12" s="83">
        <f>EIA_RE_aeo2014!J75*1000</f>
        <v>5.964995E-2</v>
      </c>
      <c r="I12" s="174">
        <f>EIA_RE_aeo2014!K75*1000</f>
        <v>5.927669E-2</v>
      </c>
      <c r="J12" s="174">
        <f>EIA_RE_aeo2014!L75*1000</f>
        <v>5.9280160000000005E-2</v>
      </c>
      <c r="K12" s="174">
        <f>EIA_RE_aeo2014!M75*1000</f>
        <v>5.9282140000000011E-2</v>
      </c>
      <c r="L12" s="174">
        <f>EIA_RE_aeo2014!N75*1000</f>
        <v>5.9281340000000009E-2</v>
      </c>
      <c r="M12" s="174">
        <f>EIA_RE_aeo2014!O75*1000</f>
        <v>5.927847E-2</v>
      </c>
      <c r="N12" s="184">
        <f>EIA_RE_aeo2014!P75*1000</f>
        <v>5.9270630000000012E-2</v>
      </c>
      <c r="O12" s="174">
        <f>EIA_RE_aeo2014!Q75*1000</f>
        <v>5.9266080000000006E-2</v>
      </c>
      <c r="P12" s="174">
        <f>EIA_RE_aeo2014!R75*1000</f>
        <v>5.9261970000000004E-2</v>
      </c>
      <c r="Q12" s="174">
        <f>EIA_RE_aeo2014!S75*1000</f>
        <v>5.9257340000000006E-2</v>
      </c>
      <c r="R12" s="174">
        <f>EIA_RE_aeo2014!T75*1000</f>
        <v>5.9914560000000006E-2</v>
      </c>
      <c r="S12" s="83">
        <f>EIA_RE_aeo2014!U75*1000</f>
        <v>5.9911790000000013E-2</v>
      </c>
      <c r="T12" s="83">
        <f>EIA_RE_aeo2014!V75*1000</f>
        <v>5.9907900000000007E-2</v>
      </c>
      <c r="U12" s="83">
        <f>EIA_RE_aeo2014!W75*1000</f>
        <v>5.9903769999999995E-2</v>
      </c>
      <c r="V12" s="83">
        <f>EIA_RE_aeo2014!X75*1000</f>
        <v>5.9899380000000002E-2</v>
      </c>
      <c r="W12" s="83">
        <f>EIA_RE_aeo2014!Y75*1000</f>
        <v>5.9890260000000001E-2</v>
      </c>
      <c r="X12" s="184">
        <f>EIA_RE_aeo2014!Z75*1000</f>
        <v>5.9879520000000006E-2</v>
      </c>
      <c r="Y12" s="174">
        <f>EIA_RE_aeo2014!AA75*1000</f>
        <v>5.9869700000000005E-2</v>
      </c>
      <c r="Z12" s="174">
        <f>EIA_RE_aeo2014!AB75*1000</f>
        <v>5.9859590000000004E-2</v>
      </c>
      <c r="AA12" s="174">
        <f>EIA_RE_aeo2014!AC75*1000</f>
        <v>5.9849180000000009E-2</v>
      </c>
      <c r="AB12" s="174">
        <f>EIA_RE_aeo2014!AD75*1000</f>
        <v>6.113379E-2</v>
      </c>
      <c r="AC12" s="174">
        <f>EIA_RE_aeo2014!AE75*1000</f>
        <v>6.1128050000000003E-2</v>
      </c>
      <c r="AD12" s="174">
        <f>EIA_RE_aeo2014!AF75*1000</f>
        <v>6.1121630000000017E-2</v>
      </c>
      <c r="AE12" s="174">
        <f>EIA_RE_aeo2014!AG75*1000</f>
        <v>6.1114840000000004E-2</v>
      </c>
      <c r="AF12" s="174">
        <f>EIA_RE_aeo2014!AH75*1000</f>
        <v>6.1108529999999994E-2</v>
      </c>
      <c r="AG12" s="174">
        <f>EIA_RE_aeo2014!AI75*1000</f>
        <v>6.1102360000000008E-2</v>
      </c>
      <c r="AH12" s="174">
        <f>EIA_RE_aeo2014!AJ75*1000</f>
        <v>6.1096870000000005E-2</v>
      </c>
    </row>
    <row r="13" spans="1:34">
      <c r="A13" s="9" t="s">
        <v>347</v>
      </c>
      <c r="B13" s="34">
        <v>1</v>
      </c>
      <c r="C13" s="330">
        <f>(EIA_RE_aeo2014!E34+EIA_RE_aeo2014!E54)*1000</f>
        <v>0</v>
      </c>
      <c r="D13" s="330">
        <f>(EIA_RE_aeo2014!F34+EIA_RE_aeo2014!F54)*1000</f>
        <v>0</v>
      </c>
      <c r="E13" s="330">
        <f>(EIA_RE_aeo2014!G34+EIA_RE_aeo2014!G54)*1000</f>
        <v>0.02</v>
      </c>
      <c r="F13" s="330">
        <f>(EIA_RE_aeo2014!H34+EIA_RE_aeo2014!H54)*1000</f>
        <v>0.02</v>
      </c>
      <c r="G13" s="330">
        <f>(EIA_RE_aeo2014!I34+EIA_RE_aeo2014!I54)*1000</f>
        <v>0.02</v>
      </c>
      <c r="H13" s="83">
        <f>(EIA_RE_aeo2014!J34+EIA_RE_aeo2014!J54)*1000</f>
        <v>0.02</v>
      </c>
      <c r="I13" s="83">
        <f>(EIA_RE_aeo2014!K34+EIA_RE_aeo2014!K54)*1000</f>
        <v>0.02</v>
      </c>
      <c r="J13" s="83">
        <f>(EIA_RE_aeo2014!L34+EIA_RE_aeo2014!L54)*1000</f>
        <v>0.02</v>
      </c>
      <c r="K13" s="83">
        <f>(EIA_RE_aeo2014!M34+EIA_RE_aeo2014!M54)*1000</f>
        <v>0.02</v>
      </c>
      <c r="L13" s="83">
        <f>(EIA_RE_aeo2014!N34+EIA_RE_aeo2014!N54)*1000</f>
        <v>0.02</v>
      </c>
      <c r="M13" s="83">
        <f>(EIA_RE_aeo2014!O34+EIA_RE_aeo2014!O54)*1000</f>
        <v>0.02</v>
      </c>
      <c r="N13" s="388">
        <f>(EIA_RE_aeo2014!P34+EIA_RE_aeo2014!P54)*1000</f>
        <v>0.02</v>
      </c>
      <c r="O13" s="83">
        <f>(EIA_RE_aeo2014!Q34+EIA_RE_aeo2014!Q54)*1000</f>
        <v>0.02</v>
      </c>
      <c r="P13" s="83">
        <f>(EIA_RE_aeo2014!R34+EIA_RE_aeo2014!R54)*1000</f>
        <v>0.02</v>
      </c>
      <c r="Q13" s="83">
        <f>(EIA_RE_aeo2014!S34+EIA_RE_aeo2014!S54)*1000</f>
        <v>0.02</v>
      </c>
      <c r="R13" s="83">
        <f>(EIA_RE_aeo2014!T34+EIA_RE_aeo2014!T54)*1000</f>
        <v>0.02</v>
      </c>
      <c r="S13" s="83">
        <f>(EIA_RE_aeo2014!U34+EIA_RE_aeo2014!U54)*1000</f>
        <v>0.02</v>
      </c>
      <c r="T13" s="83">
        <f>(EIA_RE_aeo2014!V34+EIA_RE_aeo2014!V54)*1000</f>
        <v>0.02</v>
      </c>
      <c r="U13" s="83">
        <f>(EIA_RE_aeo2014!W34+EIA_RE_aeo2014!W54)*1000</f>
        <v>0.02</v>
      </c>
      <c r="V13" s="83">
        <f>(EIA_RE_aeo2014!X34+EIA_RE_aeo2014!X54)*1000</f>
        <v>0.02</v>
      </c>
      <c r="W13" s="83">
        <f>(EIA_RE_aeo2014!Y34+EIA_RE_aeo2014!Y54)*1000</f>
        <v>0.02</v>
      </c>
      <c r="X13" s="184">
        <f>(EIA_RE_aeo2014!Z34+EIA_RE_aeo2014!Z54)*1000</f>
        <v>0.02</v>
      </c>
      <c r="Y13" s="174">
        <f>(EIA_RE_aeo2014!AA34+EIA_RE_aeo2014!AA54)*1000</f>
        <v>0.02</v>
      </c>
      <c r="Z13" s="174">
        <f>(EIA_RE_aeo2014!AB34+EIA_RE_aeo2014!AB54)*1000</f>
        <v>0.02</v>
      </c>
      <c r="AA13" s="174">
        <f>(EIA_RE_aeo2014!AC34+EIA_RE_aeo2014!AC54)*1000</f>
        <v>0.02</v>
      </c>
      <c r="AB13" s="174">
        <f>(EIA_RE_aeo2014!AD34+EIA_RE_aeo2014!AD54)*1000</f>
        <v>0.02</v>
      </c>
      <c r="AC13" s="174">
        <f>(EIA_RE_aeo2014!AE34+EIA_RE_aeo2014!AE54)*1000</f>
        <v>0.02</v>
      </c>
      <c r="AD13" s="174">
        <f>(EIA_RE_aeo2014!AF34+EIA_RE_aeo2014!AF54)*1000</f>
        <v>0.02</v>
      </c>
      <c r="AE13" s="174">
        <f>(EIA_RE_aeo2014!AG34+EIA_RE_aeo2014!AG54)*1000</f>
        <v>0.02</v>
      </c>
      <c r="AF13" s="174">
        <f>(EIA_RE_aeo2014!AH34+EIA_RE_aeo2014!AH54)*1000</f>
        <v>0.02</v>
      </c>
      <c r="AG13" s="174">
        <f>(EIA_RE_aeo2014!AI34+EIA_RE_aeo2014!AI54)*1000</f>
        <v>0.02</v>
      </c>
      <c r="AH13" s="174">
        <f>(EIA_RE_aeo2014!AJ34+EIA_RE_aeo2014!AJ54)*1000</f>
        <v>0.02</v>
      </c>
    </row>
    <row r="14" spans="1:34">
      <c r="A14" s="9" t="s">
        <v>348</v>
      </c>
      <c r="B14" s="34">
        <v>1</v>
      </c>
      <c r="C14" s="330">
        <f>EIA_RE_aeo2014!E33*1000</f>
        <v>0</v>
      </c>
      <c r="D14" s="330">
        <f>EIA_RE_aeo2014!F33*1000</f>
        <v>0</v>
      </c>
      <c r="E14" s="330">
        <f>EIA_RE_aeo2014!G33*1000</f>
        <v>0.01</v>
      </c>
      <c r="F14" s="330">
        <f>EIA_RE_aeo2014!H33*1000</f>
        <v>0.01</v>
      </c>
      <c r="G14" s="330">
        <f>EIA_RE_aeo2014!I33*1000</f>
        <v>0.01</v>
      </c>
      <c r="H14" s="83">
        <f>EIA_RE_aeo2014!J33*1000</f>
        <v>0.01</v>
      </c>
      <c r="I14" s="83">
        <f>EIA_RE_aeo2014!K33*1000</f>
        <v>0.01</v>
      </c>
      <c r="J14" s="83">
        <f>EIA_RE_aeo2014!L33*1000</f>
        <v>0.01</v>
      </c>
      <c r="K14" s="83">
        <f>EIA_RE_aeo2014!M33*1000</f>
        <v>0.01</v>
      </c>
      <c r="L14" s="83">
        <f>EIA_RE_aeo2014!N33*1000</f>
        <v>0.01</v>
      </c>
      <c r="M14" s="83">
        <f>EIA_RE_aeo2014!O33*1000</f>
        <v>0.01</v>
      </c>
      <c r="N14" s="388">
        <f>EIA_RE_aeo2014!P33*1000</f>
        <v>0.01</v>
      </c>
      <c r="O14" s="83">
        <f>EIA_RE_aeo2014!Q33*1000</f>
        <v>0.01</v>
      </c>
      <c r="P14" s="83">
        <f>EIA_RE_aeo2014!R33*1000</f>
        <v>0.01</v>
      </c>
      <c r="Q14" s="83">
        <f>EIA_RE_aeo2014!S33*1000</f>
        <v>0.01</v>
      </c>
      <c r="R14" s="83">
        <f>EIA_RE_aeo2014!T33*1000</f>
        <v>0.01</v>
      </c>
      <c r="S14" s="83">
        <f>EIA_RE_aeo2014!U33*1000</f>
        <v>0.01</v>
      </c>
      <c r="T14" s="83">
        <f>EIA_RE_aeo2014!V33*1000</f>
        <v>0.01</v>
      </c>
      <c r="U14" s="83">
        <f>EIA_RE_aeo2014!W33*1000</f>
        <v>0.01</v>
      </c>
      <c r="V14" s="83">
        <f>EIA_RE_aeo2014!X33*1000</f>
        <v>0.01</v>
      </c>
      <c r="W14" s="83">
        <f>EIA_RE_aeo2014!Y33*1000</f>
        <v>0.01</v>
      </c>
      <c r="X14" s="184">
        <f>EIA_RE_aeo2014!Z33*1000</f>
        <v>0.01</v>
      </c>
      <c r="Y14" s="174">
        <f>EIA_RE_aeo2014!AA33*1000</f>
        <v>0.01</v>
      </c>
      <c r="Z14" s="174">
        <f>EIA_RE_aeo2014!AB33*1000</f>
        <v>0.01</v>
      </c>
      <c r="AA14" s="174">
        <f>EIA_RE_aeo2014!AC33*1000</f>
        <v>0.01</v>
      </c>
      <c r="AB14" s="174">
        <f>EIA_RE_aeo2014!AD33*1000</f>
        <v>0.01</v>
      </c>
      <c r="AC14" s="174">
        <f>EIA_RE_aeo2014!AE33*1000</f>
        <v>0.01</v>
      </c>
      <c r="AD14" s="174">
        <f>EIA_RE_aeo2014!AF33*1000</f>
        <v>0.01</v>
      </c>
      <c r="AE14" s="174">
        <f>EIA_RE_aeo2014!AG33*1000</f>
        <v>0.01</v>
      </c>
      <c r="AF14" s="174">
        <f>EIA_RE_aeo2014!AH33*1000</f>
        <v>0.01</v>
      </c>
      <c r="AG14" s="174">
        <f>EIA_RE_aeo2014!AI33*1000</f>
        <v>0.01</v>
      </c>
      <c r="AH14" s="174">
        <f>EIA_RE_aeo2014!AJ33*1000</f>
        <v>0.01</v>
      </c>
    </row>
    <row r="15" spans="1:34" s="514" customFormat="1">
      <c r="A15" s="511" t="s">
        <v>717</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742</v>
      </c>
      <c r="D16" s="330">
        <f>EIA_RE_aeo2014!F78*1000</f>
        <v>939</v>
      </c>
      <c r="E16" s="330">
        <f>EIA_RE_aeo2014!G78*1000</f>
        <v>3134.7867499999998</v>
      </c>
      <c r="F16" s="330">
        <f>EIA_RE_aeo2014!H78*1000</f>
        <v>3699.232</v>
      </c>
      <c r="G16" s="330">
        <f>EIA_RE_aeo2014!I78*1000</f>
        <v>4251.8620000000001</v>
      </c>
      <c r="H16" s="3">
        <f>EIA_RE_aeo2014!J78*1000</f>
        <v>4262.027</v>
      </c>
      <c r="I16" s="3">
        <f>EIA_RE_aeo2014!K78*1000</f>
        <v>4291.5124999999998</v>
      </c>
      <c r="J16" s="3">
        <f>EIA_RE_aeo2014!L78*1000</f>
        <v>4318.4927499999994</v>
      </c>
      <c r="K16" s="3">
        <f>EIA_RE_aeo2014!M78*1000</f>
        <v>4318.1750000000002</v>
      </c>
      <c r="L16" s="3">
        <f>EIA_RE_aeo2014!N78*1000</f>
        <v>4317.6277499999997</v>
      </c>
      <c r="M16" s="3">
        <f>EIA_RE_aeo2014!O78*1000</f>
        <v>4317.1852499999995</v>
      </c>
      <c r="N16" s="388">
        <f>EIA_RE_aeo2014!P78*1000</f>
        <v>4318.6392500000002</v>
      </c>
      <c r="O16" s="3">
        <f>EIA_RE_aeo2014!Q78*1000</f>
        <v>4319.0904999999993</v>
      </c>
      <c r="P16" s="3">
        <f>EIA_RE_aeo2014!R78*1000</f>
        <v>4319.5950000000003</v>
      </c>
      <c r="Q16" s="3">
        <f>EIA_RE_aeo2014!S78*1000</f>
        <v>4320.1995000000006</v>
      </c>
      <c r="R16" s="3">
        <f>EIA_RE_aeo2014!T78*1000</f>
        <v>4322.91075</v>
      </c>
      <c r="S16" s="3">
        <f>EIA_RE_aeo2014!U78*1000</f>
        <v>4326.8344999999999</v>
      </c>
      <c r="T16" s="3">
        <f>EIA_RE_aeo2014!V78*1000</f>
        <v>4332.9602500000001</v>
      </c>
      <c r="U16" s="3">
        <f>EIA_RE_aeo2014!W78*1000</f>
        <v>4339.7242499999993</v>
      </c>
      <c r="V16" s="3">
        <f>EIA_RE_aeo2014!X78*1000</f>
        <v>4346.3980000000001</v>
      </c>
      <c r="W16" s="3">
        <f>EIA_RE_aeo2014!Y78*1000</f>
        <v>4353.3177500000002</v>
      </c>
      <c r="X16" s="184">
        <f>EIA_RE_aeo2014!Z78*1000</f>
        <v>4361.25</v>
      </c>
      <c r="Y16" s="174">
        <f>EIA_RE_aeo2014!AA78*1000</f>
        <v>4367.6674999999996</v>
      </c>
      <c r="Z16" s="174">
        <f>EIA_RE_aeo2014!AB78*1000</f>
        <v>4374.0047500000001</v>
      </c>
      <c r="AA16" s="174">
        <f>EIA_RE_aeo2014!AC78*1000</f>
        <v>4386.1100000000006</v>
      </c>
      <c r="AB16" s="174">
        <f>EIA_RE_aeo2014!AD78*1000</f>
        <v>4405.9664999999995</v>
      </c>
      <c r="AC16" s="174">
        <f>EIA_RE_aeo2014!AE78*1000</f>
        <v>4419.5820000000003</v>
      </c>
      <c r="AD16" s="174">
        <f>EIA_RE_aeo2014!AF78*1000</f>
        <v>4428.1765000000005</v>
      </c>
      <c r="AE16" s="174">
        <f>EIA_RE_aeo2014!AG78*1000</f>
        <v>4453.5852500000001</v>
      </c>
      <c r="AF16" s="174">
        <f>EIA_RE_aeo2014!AH78*1000</f>
        <v>4472.71</v>
      </c>
      <c r="AG16" s="174">
        <f>EIA_RE_aeo2014!AI78*1000</f>
        <v>4511.4814999999999</v>
      </c>
      <c r="AH16" s="174">
        <f>EIA_RE_aeo2014!AJ78*1000</f>
        <v>4565.6387500000001</v>
      </c>
    </row>
    <row r="17" spans="1:34">
      <c r="A17" s="11" t="s">
        <v>327</v>
      </c>
      <c r="B17" s="36"/>
      <c r="C17" s="330">
        <f t="shared" ref="C17:AH17" si="0">SUM(C7:C16)</f>
        <v>2389</v>
      </c>
      <c r="D17" s="330">
        <f t="shared" si="0"/>
        <v>2306</v>
      </c>
      <c r="E17" s="330">
        <f t="shared" si="0"/>
        <v>5189.1237291198468</v>
      </c>
      <c r="F17" s="330">
        <f t="shared" si="0"/>
        <v>5311.0290015582714</v>
      </c>
      <c r="G17" s="330">
        <f t="shared" si="0"/>
        <v>6321.2013283798769</v>
      </c>
      <c r="H17" s="3">
        <f t="shared" si="0"/>
        <v>6477.919248376119</v>
      </c>
      <c r="I17" s="3">
        <f t="shared" si="0"/>
        <v>6643.5304272628564</v>
      </c>
      <c r="J17" s="3">
        <f t="shared" si="0"/>
        <v>6712.2540798947612</v>
      </c>
      <c r="K17" s="3">
        <f t="shared" si="0"/>
        <v>6955.2598416808269</v>
      </c>
      <c r="L17" s="3">
        <f t="shared" si="0"/>
        <v>6955.2470711933256</v>
      </c>
      <c r="M17" s="3">
        <f t="shared" si="0"/>
        <v>6954.8125316045762</v>
      </c>
      <c r="N17" s="388">
        <f t="shared" si="0"/>
        <v>6956.3838900966148</v>
      </c>
      <c r="O17" s="3">
        <f t="shared" si="0"/>
        <v>6988.9223060430286</v>
      </c>
      <c r="P17" s="3">
        <f t="shared" si="0"/>
        <v>6989.5440555267805</v>
      </c>
      <c r="Q17" s="3">
        <f t="shared" si="0"/>
        <v>7102.6783494283318</v>
      </c>
      <c r="R17" s="3">
        <f t="shared" si="0"/>
        <v>7105.4105497733317</v>
      </c>
      <c r="S17" s="3">
        <f t="shared" si="0"/>
        <v>7109.5523415345815</v>
      </c>
      <c r="T17" s="3">
        <f t="shared" si="0"/>
        <v>7115.7193257695817</v>
      </c>
      <c r="U17" s="3">
        <f t="shared" si="0"/>
        <v>7122.4875528895809</v>
      </c>
      <c r="V17" s="3">
        <f t="shared" si="0"/>
        <v>7147.1923348066975</v>
      </c>
      <c r="W17" s="3">
        <f t="shared" si="0"/>
        <v>7154.151521155447</v>
      </c>
      <c r="X17" s="184">
        <f t="shared" si="0"/>
        <v>7174.084651604473</v>
      </c>
      <c r="Y17" s="174">
        <f t="shared" si="0"/>
        <v>7215.315171401804</v>
      </c>
      <c r="Z17" s="174">
        <f t="shared" si="0"/>
        <v>7251.9715222541654</v>
      </c>
      <c r="AA17" s="174">
        <f t="shared" si="0"/>
        <v>7264.0892385629159</v>
      </c>
      <c r="AB17" s="174">
        <f t="shared" si="0"/>
        <v>7325.2891945976917</v>
      </c>
      <c r="AC17" s="174">
        <f t="shared" si="0"/>
        <v>7375.6411630527564</v>
      </c>
      <c r="AD17" s="174">
        <f t="shared" si="0"/>
        <v>7399.2388512404568</v>
      </c>
      <c r="AE17" s="174">
        <f t="shared" si="0"/>
        <v>7424.6651635129565</v>
      </c>
      <c r="AF17" s="174">
        <f t="shared" si="0"/>
        <v>7443.8075037654562</v>
      </c>
      <c r="AG17" s="174">
        <f t="shared" si="0"/>
        <v>7482.5769077517061</v>
      </c>
      <c r="AH17" s="174">
        <f t="shared" si="0"/>
        <v>7536.7418210117066</v>
      </c>
    </row>
    <row r="18" spans="1:34">
      <c r="A18" s="10" t="s">
        <v>126</v>
      </c>
      <c r="B18" s="37"/>
      <c r="C18" s="331">
        <f t="shared" ref="C18:AH18" si="1">SUMPRODUCT($B7:$B16,C7:C16)</f>
        <v>743.01</v>
      </c>
      <c r="D18" s="331">
        <f t="shared" si="1"/>
        <v>939.01</v>
      </c>
      <c r="E18" s="331">
        <f t="shared" si="1"/>
        <v>3135.0895636062496</v>
      </c>
      <c r="F18" s="331">
        <f t="shared" si="1"/>
        <v>3699.53125599125</v>
      </c>
      <c r="G18" s="331">
        <f t="shared" si="1"/>
        <v>4252.19046463625</v>
      </c>
      <c r="H18" s="14">
        <f t="shared" si="1"/>
        <v>4262.3867858312497</v>
      </c>
      <c r="I18" s="14">
        <f t="shared" si="1"/>
        <v>4291.9189802274996</v>
      </c>
      <c r="J18" s="14">
        <f t="shared" si="1"/>
        <v>4319.0248454162493</v>
      </c>
      <c r="K18" s="14">
        <f t="shared" si="1"/>
        <v>4319.0838084900006</v>
      </c>
      <c r="L18" s="14">
        <f t="shared" si="1"/>
        <v>4319.0710380024993</v>
      </c>
      <c r="M18" s="14">
        <f t="shared" si="1"/>
        <v>4318.6364984137499</v>
      </c>
      <c r="N18" s="190">
        <f t="shared" si="1"/>
        <v>4320.2080660424999</v>
      </c>
      <c r="O18" s="14">
        <f t="shared" si="1"/>
        <v>4320.7289061799993</v>
      </c>
      <c r="P18" s="14">
        <f t="shared" si="1"/>
        <v>4321.3506556637503</v>
      </c>
      <c r="Q18" s="14">
        <f t="shared" si="1"/>
        <v>4322.3355968150008</v>
      </c>
      <c r="R18" s="14">
        <f t="shared" si="1"/>
        <v>4325.0677971599998</v>
      </c>
      <c r="S18" s="14">
        <f t="shared" si="1"/>
        <v>4329.2095889212496</v>
      </c>
      <c r="T18" s="14">
        <f t="shared" si="1"/>
        <v>4335.3765731562498</v>
      </c>
      <c r="U18" s="14">
        <f t="shared" si="1"/>
        <v>4342.144800276249</v>
      </c>
      <c r="V18" s="14">
        <f t="shared" si="1"/>
        <v>4348.8721904175</v>
      </c>
      <c r="W18" s="14">
        <f t="shared" si="1"/>
        <v>4355.8313767662503</v>
      </c>
      <c r="X18" s="187">
        <f t="shared" si="1"/>
        <v>4364.0651904012502</v>
      </c>
      <c r="Y18" s="14">
        <f t="shared" si="1"/>
        <v>4370.6756371437496</v>
      </c>
      <c r="Z18" s="14">
        <f t="shared" si="1"/>
        <v>4377.0805717212497</v>
      </c>
      <c r="AA18" s="14">
        <f t="shared" si="1"/>
        <v>4389.1982880300002</v>
      </c>
      <c r="AB18" s="14">
        <f t="shared" si="1"/>
        <v>4409.0642551399997</v>
      </c>
      <c r="AC18" s="14">
        <f t="shared" si="1"/>
        <v>4422.6815692437503</v>
      </c>
      <c r="AD18" s="14">
        <f t="shared" si="1"/>
        <v>4431.2634506362501</v>
      </c>
      <c r="AE18" s="14">
        <f t="shared" si="1"/>
        <v>4456.6897629087498</v>
      </c>
      <c r="AF18" s="14">
        <f t="shared" si="1"/>
        <v>4475.8321031612504</v>
      </c>
      <c r="AG18" s="14">
        <f t="shared" si="1"/>
        <v>4514.6015071474994</v>
      </c>
      <c r="AH18" s="14">
        <f t="shared" si="1"/>
        <v>4568.7664204074999</v>
      </c>
    </row>
    <row r="19" spans="1:34">
      <c r="A19" s="10" t="s">
        <v>112</v>
      </c>
      <c r="B19" s="37"/>
      <c r="C19" s="332">
        <f t="shared" ref="C19:AH19" si="2">C18/C4</f>
        <v>1.0502501908235094E-2</v>
      </c>
      <c r="D19" s="332">
        <f t="shared" si="2"/>
        <v>1.1628462805414174E-2</v>
      </c>
      <c r="E19" s="332">
        <f t="shared" si="2"/>
        <v>3.6191278401801426E-2</v>
      </c>
      <c r="F19" s="332">
        <f t="shared" si="2"/>
        <v>4.9679278158796178E-2</v>
      </c>
      <c r="G19" s="332">
        <f t="shared" si="2"/>
        <v>4.9634633647589868E-2</v>
      </c>
      <c r="H19" s="23">
        <f t="shared" si="2"/>
        <v>4.9701672323298259E-2</v>
      </c>
      <c r="I19" s="23">
        <f t="shared" si="2"/>
        <v>5.0962253042168511E-2</v>
      </c>
      <c r="J19" s="23">
        <f t="shared" si="2"/>
        <v>5.1630718110047907E-2</v>
      </c>
      <c r="K19" s="23">
        <f t="shared" si="2"/>
        <v>5.0709463074066312E-2</v>
      </c>
      <c r="L19" s="23">
        <f t="shared" si="2"/>
        <v>5.0152985511530628E-2</v>
      </c>
      <c r="M19" s="23">
        <f t="shared" si="2"/>
        <v>4.9744030939435288E-2</v>
      </c>
      <c r="N19" s="183">
        <f t="shared" si="2"/>
        <v>4.9564252985373418E-2</v>
      </c>
      <c r="O19" s="23">
        <f t="shared" si="2"/>
        <v>4.9233039748371787E-2</v>
      </c>
      <c r="P19" s="23">
        <f t="shared" si="2"/>
        <v>4.9081749536675733E-2</v>
      </c>
      <c r="Q19" s="23">
        <f t="shared" si="2"/>
        <v>4.9041095237078905E-2</v>
      </c>
      <c r="R19" s="23">
        <f t="shared" si="2"/>
        <v>4.8879301687117717E-2</v>
      </c>
      <c r="S19" s="23">
        <f t="shared" si="2"/>
        <v>4.8830995542196547E-2</v>
      </c>
      <c r="T19" s="23">
        <f t="shared" si="2"/>
        <v>4.8889947959752454E-2</v>
      </c>
      <c r="U19" s="23">
        <f t="shared" si="2"/>
        <v>4.8926739763162759E-2</v>
      </c>
      <c r="V19" s="23">
        <f t="shared" si="2"/>
        <v>4.9002153331537367E-2</v>
      </c>
      <c r="W19" s="23">
        <f t="shared" si="2"/>
        <v>4.9086121550310065E-2</v>
      </c>
      <c r="X19" s="185">
        <f t="shared" si="2"/>
        <v>4.9375481149910333E-2</v>
      </c>
      <c r="Y19" s="172">
        <f t="shared" si="2"/>
        <v>4.9548667191144709E-2</v>
      </c>
      <c r="Z19" s="172">
        <f t="shared" si="2"/>
        <v>4.9654910662377705E-2</v>
      </c>
      <c r="AA19" s="172">
        <f t="shared" si="2"/>
        <v>4.9799512460444298E-2</v>
      </c>
      <c r="AB19" s="172">
        <f t="shared" si="2"/>
        <v>4.9992646814193707E-2</v>
      </c>
      <c r="AC19" s="172">
        <f t="shared" si="2"/>
        <v>5.0132187855564593E-2</v>
      </c>
      <c r="AD19" s="172">
        <f t="shared" si="2"/>
        <v>5.0221284630287653E-2</v>
      </c>
      <c r="AE19" s="172">
        <f t="shared" si="2"/>
        <v>5.0526361380168396E-2</v>
      </c>
      <c r="AF19" s="172">
        <f t="shared" si="2"/>
        <v>5.0765344551823056E-2</v>
      </c>
      <c r="AG19" s="172">
        <f t="shared" si="2"/>
        <v>5.120933093247753E-2</v>
      </c>
      <c r="AH19" s="172">
        <f t="shared" si="2"/>
        <v>5.1817935683842145E-2</v>
      </c>
    </row>
    <row r="20" spans="1:34">
      <c r="A20" s="10" t="s">
        <v>142</v>
      </c>
      <c r="B20" s="37"/>
      <c r="C20" s="331">
        <f>EIA_electricity_aeo2014!E49*1000</f>
        <v>68080</v>
      </c>
      <c r="D20" s="331">
        <f>EIA_electricity_aeo2014!F49*1000</f>
        <v>78148</v>
      </c>
      <c r="E20" s="331">
        <f>EIA_electricity_aeo2014!G49*1000</f>
        <v>80778.968061960404</v>
      </c>
      <c r="F20" s="331">
        <f>EIA_electricity_aeo2014!H49*1000</f>
        <v>68338.921024879732</v>
      </c>
      <c r="G20" s="331">
        <f>EIA_electricity_aeo2014!I49*1000</f>
        <v>78699.048573742475</v>
      </c>
      <c r="H20" s="14">
        <f>EIA_electricity_aeo2014!J49*1000</f>
        <v>78653.408784794854</v>
      </c>
      <c r="I20" s="14">
        <f>EIA_electricity_aeo2014!K49*1000</f>
        <v>76890.453958858241</v>
      </c>
      <c r="J20" s="14">
        <f>EIA_electricity_aeo2014!L49*1000</f>
        <v>76171.701578895241</v>
      </c>
      <c r="K20" s="14">
        <f>EIA_electricity_aeo2014!M49*1000</f>
        <v>77428.905226417803</v>
      </c>
      <c r="L20" s="14">
        <f>EIA_electricity_aeo2014!N49*1000</f>
        <v>78355.125857373656</v>
      </c>
      <c r="M20" s="14">
        <f>EIA_electricity_aeo2014!O49*1000</f>
        <v>79042.530447208745</v>
      </c>
      <c r="N20" s="190">
        <f>EIA_electricity_aeo2014!P49*1000</f>
        <v>79380.974388062081</v>
      </c>
      <c r="O20" s="14">
        <f>EIA_electricity_aeo2014!Q49*1000</f>
        <v>79958.496071829984</v>
      </c>
      <c r="P20" s="14">
        <f>EIA_electricity_aeo2014!R49*1000</f>
        <v>80230.464987739411</v>
      </c>
      <c r="Q20" s="14">
        <f>EIA_electricity_aeo2014!S49*1000</f>
        <v>80181.214856387116</v>
      </c>
      <c r="R20" s="14">
        <f>EIA_electricity_aeo2014!T49*1000</f>
        <v>80530.128080572875</v>
      </c>
      <c r="S20" s="14">
        <f>EIA_electricity_aeo2014!U49*1000</f>
        <v>80698.296233955072</v>
      </c>
      <c r="T20" s="14">
        <f>EIA_electricity_aeo2014!V49*1000</f>
        <v>80670.132136151398</v>
      </c>
      <c r="U20" s="14">
        <f>EIA_electricity_aeo2014!W49*1000</f>
        <v>80721.183371250911</v>
      </c>
      <c r="V20" s="14">
        <f>EIA_electricity_aeo2014!X49*1000</f>
        <v>80702.505963470699</v>
      </c>
      <c r="W20" s="14">
        <f>EIA_electricity_aeo2014!Y49*1000</f>
        <v>80674.578297314016</v>
      </c>
      <c r="X20" s="187">
        <f>EIA_electricity_aeo2014!Z49*1000</f>
        <v>80307.943950011046</v>
      </c>
      <c r="Y20" s="14">
        <f>EIA_electricity_aeo2014!AA49*1000</f>
        <v>80045.601575348206</v>
      </c>
      <c r="Z20" s="14">
        <f>EIA_electricity_aeo2014!AB49*1000</f>
        <v>79907.683691542217</v>
      </c>
      <c r="AA20" s="14">
        <f>EIA_electricity_aeo2014!AC49*1000</f>
        <v>79836.728061879519</v>
      </c>
      <c r="AB20" s="14">
        <f>EIA_electricity_aeo2014!AD49*1000</f>
        <v>79797.012218429838</v>
      </c>
      <c r="AC20" s="14">
        <f>EIA_electricity_aeo2014!AE49*1000</f>
        <v>79745.863191324068</v>
      </c>
      <c r="AD20" s="14">
        <f>EIA_electricity_aeo2014!AF49*1000</f>
        <v>79705.690408234514</v>
      </c>
      <c r="AE20" s="14">
        <f>EIA_electricity_aeo2014!AG49*1000</f>
        <v>79627.028249228693</v>
      </c>
      <c r="AF20" s="14">
        <f>EIA_electricity_aeo2014!AH49*1000</f>
        <v>79553.355213374263</v>
      </c>
      <c r="AG20" s="14">
        <f>EIA_electricity_aeo2014!AI49*1000</f>
        <v>79505.855991642049</v>
      </c>
      <c r="AH20" s="14">
        <f>EIA_electricity_aeo2014!AJ49*1000</f>
        <v>79452.612657853475</v>
      </c>
    </row>
    <row r="21" spans="1:34">
      <c r="A21" s="10" t="s">
        <v>222</v>
      </c>
      <c r="B21" s="37"/>
      <c r="C21" s="331">
        <f>EIA_electricity_aeo2014!E51*1000</f>
        <v>109</v>
      </c>
      <c r="D21" s="331">
        <f>EIA_electricity_aeo2014!F51*1000</f>
        <v>140</v>
      </c>
      <c r="E21" s="331">
        <f>EIA_electricity_aeo2014!G51*1000</f>
        <v>482.4901518140793</v>
      </c>
      <c r="F21" s="331">
        <f>EIA_electricity_aeo2014!H51*1000</f>
        <v>687.10645756465487</v>
      </c>
      <c r="G21" s="331">
        <f>EIA_electricity_aeo2014!I51*1000</f>
        <v>558.07064364826681</v>
      </c>
      <c r="H21" s="14">
        <f>EIA_electricity_aeo2014!J51*1000</f>
        <v>536.57970231174306</v>
      </c>
      <c r="I21" s="14">
        <f>EIA_electricity_aeo2014!K51*1000</f>
        <v>593.3145778880513</v>
      </c>
      <c r="J21" s="14">
        <f>EIA_electricity_aeo2014!L51*1000</f>
        <v>681.04371521704866</v>
      </c>
      <c r="K21" s="14">
        <f>EIA_electricity_aeo2014!M51*1000</f>
        <v>699.89182352191324</v>
      </c>
      <c r="L21" s="14">
        <f>EIA_electricity_aeo2014!N51*1000</f>
        <v>716.73964877970764</v>
      </c>
      <c r="M21" s="14">
        <f>EIA_electricity_aeo2014!O51*1000</f>
        <v>728.00944220150598</v>
      </c>
      <c r="N21" s="190">
        <f>EIA_electricity_aeo2014!P51*1000</f>
        <v>734.16352028300867</v>
      </c>
      <c r="O21" s="14">
        <f>EIA_electricity_aeo2014!Q51*1000</f>
        <v>720.25053009882754</v>
      </c>
      <c r="P21" s="14">
        <f>EIA_electricity_aeo2014!R51*1000</f>
        <v>730.30080321788114</v>
      </c>
      <c r="Q21" s="14">
        <f>EIA_electricity_aeo2014!S51*1000</f>
        <v>759.32226325426132</v>
      </c>
      <c r="R21" s="14">
        <f>EIA_electricity_aeo2014!T51*1000</f>
        <v>755.81910875538097</v>
      </c>
      <c r="S21" s="14">
        <f>EIA_electricity_aeo2014!U51*1000</f>
        <v>756.17232569508269</v>
      </c>
      <c r="T21" s="14">
        <f>EIA_electricity_aeo2014!V51*1000</f>
        <v>797.8458198020744</v>
      </c>
      <c r="U21" s="14">
        <f>EIA_electricity_aeo2014!W51*1000</f>
        <v>811.94929183404872</v>
      </c>
      <c r="V21" s="14">
        <f>EIA_electricity_aeo2014!X51*1000</f>
        <v>806.86861260995249</v>
      </c>
      <c r="W21" s="14">
        <f>EIA_electricity_aeo2014!Y51*1000</f>
        <v>817.78540044909084</v>
      </c>
      <c r="X21" s="187">
        <f>EIA_electricity_aeo2014!Z51*1000</f>
        <v>810.75499183324257</v>
      </c>
      <c r="Y21" s="14">
        <f>EIA_electricity_aeo2014!AA51*1000</f>
        <v>856.90736776663994</v>
      </c>
      <c r="Z21" s="14">
        <f>EIA_electricity_aeo2014!AB51*1000</f>
        <v>898.69392314535116</v>
      </c>
      <c r="AA21" s="14">
        <f>EIA_electricity_aeo2014!AC51*1000</f>
        <v>944.89283695026563</v>
      </c>
      <c r="AB21" s="14">
        <f>EIA_electricity_aeo2014!AD51*1000</f>
        <v>980.1597206326054</v>
      </c>
      <c r="AC21" s="14">
        <f>EIA_electricity_aeo2014!AE51*1000</f>
        <v>1007.1700299377239</v>
      </c>
      <c r="AD21" s="14">
        <f>EIA_electricity_aeo2014!AF51*1000</f>
        <v>1038.177484302068</v>
      </c>
      <c r="AE21" s="14">
        <f>EIA_electricity_aeo2014!AG51*1000</f>
        <v>1061.9117348771945</v>
      </c>
      <c r="AF21" s="14">
        <f>EIA_electricity_aeo2014!AH51*1000</f>
        <v>1078.3439387997671</v>
      </c>
      <c r="AG21" s="14">
        <f>EIA_electricity_aeo2014!AI51*1000</f>
        <v>1079.6698454239227</v>
      </c>
      <c r="AH21" s="14">
        <f>EIA_electricity_aeo2014!AJ51*1000</f>
        <v>1088.6782069695726</v>
      </c>
    </row>
    <row r="22" spans="1:34">
      <c r="A22" s="10" t="s">
        <v>351</v>
      </c>
      <c r="B22" s="37"/>
      <c r="C22" s="330">
        <f>SUM(C17,C20:C21)</f>
        <v>70578</v>
      </c>
      <c r="D22" s="330">
        <f t="shared" ref="D22:AH22" si="3">SUM(D17,D20:D21)</f>
        <v>80594</v>
      </c>
      <c r="E22" s="330">
        <f t="shared" si="3"/>
        <v>86450.581942894336</v>
      </c>
      <c r="F22" s="330">
        <f t="shared" si="3"/>
        <v>74337.056484002664</v>
      </c>
      <c r="G22" s="330">
        <f t="shared" si="3"/>
        <v>85578.320545770621</v>
      </c>
      <c r="H22" s="79">
        <f t="shared" si="3"/>
        <v>85667.907735482717</v>
      </c>
      <c r="I22" s="79">
        <f t="shared" si="3"/>
        <v>84127.298964009155</v>
      </c>
      <c r="J22" s="79">
        <f t="shared" si="3"/>
        <v>83564.999374007049</v>
      </c>
      <c r="K22" s="79">
        <f t="shared" si="3"/>
        <v>85084.056891620552</v>
      </c>
      <c r="L22" s="79">
        <f t="shared" si="3"/>
        <v>86027.112577346692</v>
      </c>
      <c r="M22" s="79">
        <f t="shared" si="3"/>
        <v>86725.352421014832</v>
      </c>
      <c r="N22" s="388">
        <f t="shared" si="3"/>
        <v>87071.52179844171</v>
      </c>
      <c r="O22" s="79">
        <f t="shared" si="3"/>
        <v>87667.668907971834</v>
      </c>
      <c r="P22" s="79">
        <f t="shared" si="3"/>
        <v>87950.309846484073</v>
      </c>
      <c r="Q22" s="79">
        <f t="shared" si="3"/>
        <v>88043.215469069706</v>
      </c>
      <c r="R22" s="79">
        <f t="shared" si="3"/>
        <v>88391.357739101586</v>
      </c>
      <c r="S22" s="79">
        <f t="shared" si="3"/>
        <v>88564.020901184733</v>
      </c>
      <c r="T22" s="79">
        <f t="shared" si="3"/>
        <v>88583.697281723056</v>
      </c>
      <c r="U22" s="79">
        <f t="shared" si="3"/>
        <v>88655.620215974544</v>
      </c>
      <c r="V22" s="79">
        <f t="shared" si="3"/>
        <v>88656.566910887341</v>
      </c>
      <c r="W22" s="79">
        <f t="shared" si="3"/>
        <v>88646.515218918561</v>
      </c>
      <c r="X22" s="184">
        <f t="shared" si="3"/>
        <v>88292.783593448752</v>
      </c>
      <c r="Y22" s="174">
        <f t="shared" si="3"/>
        <v>88117.824114516654</v>
      </c>
      <c r="Z22" s="174">
        <f t="shared" si="3"/>
        <v>88058.349136941746</v>
      </c>
      <c r="AA22" s="174">
        <f t="shared" si="3"/>
        <v>88045.7101373927</v>
      </c>
      <c r="AB22" s="174">
        <f t="shared" si="3"/>
        <v>88102.461133660137</v>
      </c>
      <c r="AC22" s="174">
        <f t="shared" si="3"/>
        <v>88128.674384314552</v>
      </c>
      <c r="AD22" s="174">
        <f t="shared" si="3"/>
        <v>88143.10674377704</v>
      </c>
      <c r="AE22" s="174">
        <f t="shared" si="3"/>
        <v>88113.605147618844</v>
      </c>
      <c r="AF22" s="174">
        <f t="shared" si="3"/>
        <v>88075.506655939491</v>
      </c>
      <c r="AG22" s="174">
        <f t="shared" si="3"/>
        <v>88068.102744817676</v>
      </c>
      <c r="AH22" s="174">
        <f t="shared" si="3"/>
        <v>88078.032685834754</v>
      </c>
    </row>
    <row r="23" spans="1:34">
      <c r="A23" s="10" t="s">
        <v>328</v>
      </c>
      <c r="B23" s="37"/>
      <c r="C23" s="330">
        <f>EIA_electricity_aeo2014!E50*1000+EIA_electricity_aeo2014!E55*1000</f>
        <v>169</v>
      </c>
      <c r="D23" s="330">
        <f>EIA_electricity_aeo2014!F50*1000+EIA_electricity_aeo2014!F55*1000</f>
        <v>156</v>
      </c>
      <c r="E23" s="330">
        <f>EIA_electricity_aeo2014!G50*1000+EIA_electricity_aeo2014!G55*1000</f>
        <v>175.0026672517514</v>
      </c>
      <c r="F23" s="330">
        <f>EIA_electricity_aeo2014!H50*1000+EIA_electricity_aeo2014!H55*1000</f>
        <v>131.2708243029964</v>
      </c>
      <c r="G23" s="330">
        <f>EIA_electricity_aeo2014!I50*1000+EIA_electricity_aeo2014!I55*1000</f>
        <v>91.536189068727396</v>
      </c>
      <c r="H23" s="330">
        <f>EIA_electricity_aeo2014!J50*1000+EIA_electricity_aeo2014!J55*1000</f>
        <v>91.546174951897598</v>
      </c>
      <c r="I23" s="330">
        <f>EIA_electricity_aeo2014!K50*1000+EIA_electricity_aeo2014!K55*1000</f>
        <v>90.337676658185359</v>
      </c>
      <c r="J23" s="330">
        <f>EIA_electricity_aeo2014!L50*1000+EIA_electricity_aeo2014!L55*1000</f>
        <v>87.263318369926893</v>
      </c>
      <c r="K23" s="330">
        <f>EIA_electricity_aeo2014!M50*1000+EIA_electricity_aeo2014!M55*1000</f>
        <v>89.105432449642777</v>
      </c>
      <c r="L23" s="330">
        <f>EIA_electricity_aeo2014!N50*1000+EIA_electricity_aeo2014!N55*1000</f>
        <v>90.842286956849108</v>
      </c>
      <c r="M23" s="330">
        <f>EIA_electricity_aeo2014!O50*1000+EIA_electricity_aeo2014!O55*1000</f>
        <v>91.857788442004988</v>
      </c>
      <c r="N23" s="330">
        <f>EIA_electricity_aeo2014!P50*1000+EIA_electricity_aeo2014!P55*1000</f>
        <v>92.296735149401897</v>
      </c>
      <c r="O23" s="330">
        <f>EIA_electricity_aeo2014!Q50*1000+EIA_electricity_aeo2014!Q55*1000</f>
        <v>93.119482391262125</v>
      </c>
      <c r="P23" s="330">
        <f>EIA_electricity_aeo2014!R50*1000+EIA_electricity_aeo2014!R55*1000</f>
        <v>93.661057347693429</v>
      </c>
      <c r="Q23" s="330">
        <f>EIA_electricity_aeo2014!S50*1000+EIA_electricity_aeo2014!S55*1000</f>
        <v>93.826478146702968</v>
      </c>
      <c r="R23" s="330">
        <f>EIA_electricity_aeo2014!T50*1000+EIA_electricity_aeo2014!T55*1000</f>
        <v>93.320115429517699</v>
      </c>
      <c r="S23" s="330">
        <f>EIA_electricity_aeo2014!U50*1000+EIA_electricity_aeo2014!U55*1000</f>
        <v>93.009449754873287</v>
      </c>
      <c r="T23" s="330">
        <f>EIA_electricity_aeo2014!V50*1000+EIA_electricity_aeo2014!V55*1000</f>
        <v>92.568919740108953</v>
      </c>
      <c r="U23" s="330">
        <f>EIA_electricity_aeo2014!W50*1000+EIA_electricity_aeo2014!W55*1000</f>
        <v>92.297366461035537</v>
      </c>
      <c r="V23" s="330">
        <f>EIA_electricity_aeo2014!X50*1000+EIA_electricity_aeo2014!X55*1000</f>
        <v>92.056666093351197</v>
      </c>
      <c r="W23" s="330">
        <f>EIA_electricity_aeo2014!Y50*1000+EIA_electricity_aeo2014!Y55*1000</f>
        <v>92.067333085534685</v>
      </c>
      <c r="X23" s="330">
        <f>EIA_electricity_aeo2014!Z50*1000+EIA_electricity_aeo2014!Z55*1000</f>
        <v>92.515547552296383</v>
      </c>
      <c r="Y23" s="330">
        <f>EIA_electricity_aeo2014!AA50*1000+EIA_electricity_aeo2014!AA55*1000</f>
        <v>91.957729724120426</v>
      </c>
      <c r="Z23" s="330">
        <f>EIA_electricity_aeo2014!AB50*1000+EIA_electricity_aeo2014!AB55*1000</f>
        <v>91.684827070135725</v>
      </c>
      <c r="AA23" s="330">
        <f>EIA_electricity_aeo2014!AC50*1000+EIA_electricity_aeo2014!AC55*1000</f>
        <v>91.694531010654757</v>
      </c>
      <c r="AB23" s="330">
        <f>EIA_electricity_aeo2014!AD50*1000+EIA_electricity_aeo2014!AD55*1000</f>
        <v>91.824144061949767</v>
      </c>
      <c r="AC23" s="330">
        <f>EIA_electricity_aeo2014!AE50*1000+EIA_electricity_aeo2014!AE55*1000</f>
        <v>91.753695775219384</v>
      </c>
      <c r="AD23" s="330">
        <f>EIA_electricity_aeo2014!AF50*1000+EIA_electricity_aeo2014!AF55*1000</f>
        <v>91.692304002880562</v>
      </c>
      <c r="AE23" s="330">
        <f>EIA_electricity_aeo2014!AG50*1000+EIA_electricity_aeo2014!AG55*1000</f>
        <v>91.663487633471192</v>
      </c>
      <c r="AF23" s="330">
        <f>EIA_electricity_aeo2014!AH50*1000+EIA_electricity_aeo2014!AH55*1000</f>
        <v>91.601548211443458</v>
      </c>
      <c r="AG23" s="330">
        <f>EIA_electricity_aeo2014!AI50*1000+EIA_electricity_aeo2014!AI55*1000</f>
        <v>91.671288945677034</v>
      </c>
      <c r="AH23" s="330">
        <f>EIA_electricity_aeo2014!AJ50*1000+EIA_electricity_aeo2014!AJ55*1000</f>
        <v>91.592650479104393</v>
      </c>
    </row>
    <row r="24" spans="1:34">
      <c r="A24" s="10" t="s">
        <v>345</v>
      </c>
      <c r="B24" s="37"/>
      <c r="C24" s="330">
        <f>SUM(C22:C23)</f>
        <v>70747</v>
      </c>
      <c r="D24" s="330">
        <f t="shared" ref="D24:AH24" si="4">SUM(D22:D23)</f>
        <v>80750</v>
      </c>
      <c r="E24" s="330">
        <f t="shared" si="4"/>
        <v>86625.584610146092</v>
      </c>
      <c r="F24" s="330">
        <f t="shared" si="4"/>
        <v>74468.327308305656</v>
      </c>
      <c r="G24" s="330">
        <f t="shared" si="4"/>
        <v>85669.856734839355</v>
      </c>
      <c r="H24" s="83">
        <f t="shared" si="4"/>
        <v>85759.453910434619</v>
      </c>
      <c r="I24" s="83">
        <f t="shared" si="4"/>
        <v>84217.636640667333</v>
      </c>
      <c r="J24" s="83">
        <f t="shared" si="4"/>
        <v>83652.262692376971</v>
      </c>
      <c r="K24" s="83">
        <f t="shared" si="4"/>
        <v>85173.162324070188</v>
      </c>
      <c r="L24" s="83">
        <f t="shared" si="4"/>
        <v>86117.954864303538</v>
      </c>
      <c r="M24" s="83">
        <f t="shared" si="4"/>
        <v>86817.21020945684</v>
      </c>
      <c r="N24" s="388">
        <f t="shared" si="4"/>
        <v>87163.818533591111</v>
      </c>
      <c r="O24" s="83">
        <f t="shared" si="4"/>
        <v>87760.788390363101</v>
      </c>
      <c r="P24" s="83">
        <f t="shared" si="4"/>
        <v>88043.970903831767</v>
      </c>
      <c r="Q24" s="83">
        <f t="shared" si="4"/>
        <v>88137.041947216407</v>
      </c>
      <c r="R24" s="83">
        <f t="shared" si="4"/>
        <v>88484.67785453111</v>
      </c>
      <c r="S24" s="83">
        <f t="shared" si="4"/>
        <v>88657.030350939604</v>
      </c>
      <c r="T24" s="83">
        <f t="shared" si="4"/>
        <v>88676.266201463164</v>
      </c>
      <c r="U24" s="83">
        <f t="shared" si="4"/>
        <v>88747.917582435577</v>
      </c>
      <c r="V24" s="83">
        <f t="shared" si="4"/>
        <v>88748.623576980695</v>
      </c>
      <c r="W24" s="83">
        <f t="shared" si="4"/>
        <v>88738.582552004096</v>
      </c>
      <c r="X24" s="184">
        <f t="shared" si="4"/>
        <v>88385.299141001044</v>
      </c>
      <c r="Y24" s="174">
        <f t="shared" si="4"/>
        <v>88209.781844240773</v>
      </c>
      <c r="Z24" s="174">
        <f t="shared" si="4"/>
        <v>88150.033964011876</v>
      </c>
      <c r="AA24" s="174">
        <f t="shared" si="4"/>
        <v>88137.404668403353</v>
      </c>
      <c r="AB24" s="174">
        <f t="shared" si="4"/>
        <v>88194.285277722083</v>
      </c>
      <c r="AC24" s="174">
        <f t="shared" si="4"/>
        <v>88220.428080089769</v>
      </c>
      <c r="AD24" s="174">
        <f t="shared" si="4"/>
        <v>88234.799047779918</v>
      </c>
      <c r="AE24" s="174">
        <f t="shared" si="4"/>
        <v>88205.268635252316</v>
      </c>
      <c r="AF24" s="174">
        <f t="shared" si="4"/>
        <v>88167.108204150936</v>
      </c>
      <c r="AG24" s="174">
        <f t="shared" si="4"/>
        <v>88159.774033763359</v>
      </c>
      <c r="AH24" s="174">
        <f t="shared" si="4"/>
        <v>88169.625336313853</v>
      </c>
    </row>
    <row r="25" spans="1:34">
      <c r="A25" s="10" t="s">
        <v>346</v>
      </c>
      <c r="B25" s="37"/>
      <c r="C25" s="332">
        <f t="shared" ref="C25:AH25" si="5">C24/C4-1</f>
        <v>1.4135074774435097E-5</v>
      </c>
      <c r="D25" s="332">
        <f t="shared" si="5"/>
        <v>-1.2383747569733039E-5</v>
      </c>
      <c r="E25" s="332">
        <f t="shared" si="5"/>
        <v>3.4631812928509476E-7</v>
      </c>
      <c r="F25" s="332">
        <f t="shared" si="5"/>
        <v>4.0285599478551148E-7</v>
      </c>
      <c r="G25" s="332">
        <f t="shared" si="5"/>
        <v>3.5018163546673975E-7</v>
      </c>
      <c r="H25" s="82">
        <f t="shared" si="5"/>
        <v>3.4981578300730121E-7</v>
      </c>
      <c r="I25" s="82">
        <f t="shared" si="5"/>
        <v>3.562200494577894E-7</v>
      </c>
      <c r="J25" s="82">
        <f t="shared" si="5"/>
        <v>3.5862760672245031E-7</v>
      </c>
      <c r="K25" s="82">
        <f t="shared" si="5"/>
        <v>3.5222374927812439E-7</v>
      </c>
      <c r="L25" s="82">
        <f t="shared" si="5"/>
        <v>3.4835953188760982E-7</v>
      </c>
      <c r="M25" s="82">
        <f t="shared" si="5"/>
        <v>3.4555372474542878E-7</v>
      </c>
      <c r="N25" s="199">
        <f t="shared" si="5"/>
        <v>3.4417962457844453E-7</v>
      </c>
      <c r="O25" s="82">
        <f t="shared" si="5"/>
        <v>3.4183843156121441E-7</v>
      </c>
      <c r="P25" s="82">
        <f t="shared" si="5"/>
        <v>3.407389501663971E-7</v>
      </c>
      <c r="Q25" s="82">
        <f t="shared" si="5"/>
        <v>3.403791362099895E-7</v>
      </c>
      <c r="R25" s="82">
        <f t="shared" si="5"/>
        <v>3.3904186458322272E-7</v>
      </c>
      <c r="S25" s="82">
        <f t="shared" si="5"/>
        <v>3.3838275470543522E-7</v>
      </c>
      <c r="T25" s="82">
        <f t="shared" si="5"/>
        <v>3.3830935208811752E-7</v>
      </c>
      <c r="U25" s="82">
        <f t="shared" si="5"/>
        <v>3.3803621479755463E-7</v>
      </c>
      <c r="V25" s="82">
        <f t="shared" si="5"/>
        <v>3.380335260594336E-7</v>
      </c>
      <c r="W25" s="82">
        <f t="shared" si="5"/>
        <v>3.3807177524103338E-7</v>
      </c>
      <c r="X25" s="185">
        <f t="shared" si="5"/>
        <v>3.3942307653411774E-7</v>
      </c>
      <c r="Y25" s="172">
        <f t="shared" si="5"/>
        <v>3.400984514012606E-7</v>
      </c>
      <c r="Z25" s="172">
        <f t="shared" si="5"/>
        <v>3.4032896945035418E-7</v>
      </c>
      <c r="AA25" s="172">
        <f t="shared" si="5"/>
        <v>3.4037773555262163E-7</v>
      </c>
      <c r="AB25" s="172">
        <f t="shared" si="5"/>
        <v>3.4015820982169487E-7</v>
      </c>
      <c r="AC25" s="172">
        <f t="shared" si="5"/>
        <v>3.4005740912057547E-7</v>
      </c>
      <c r="AD25" s="172">
        <f t="shared" si="5"/>
        <v>3.4000202320250139E-7</v>
      </c>
      <c r="AE25" s="172">
        <f t="shared" si="5"/>
        <v>3.4011585325899318E-7</v>
      </c>
      <c r="AF25" s="172">
        <f t="shared" si="5"/>
        <v>3.4026306217072033E-7</v>
      </c>
      <c r="AG25" s="172">
        <f t="shared" si="5"/>
        <v>3.4029136908308999E-7</v>
      </c>
      <c r="AH25" s="172">
        <f t="shared" si="5"/>
        <v>3.4025334794129947E-7</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1.3458769060981683E-3</v>
      </c>
      <c r="D28" s="332">
        <f t="shared" si="6"/>
        <v>0</v>
      </c>
      <c r="E28" s="332">
        <f t="shared" si="6"/>
        <v>6.9729317716377671E-5</v>
      </c>
      <c r="F28" s="332">
        <f t="shared" si="6"/>
        <v>5.6906406969547702E-5</v>
      </c>
      <c r="G28" s="332">
        <f t="shared" si="6"/>
        <v>5.3867861318764912E-5</v>
      </c>
      <c r="H28" s="164">
        <f t="shared" si="6"/>
        <v>6.1030543289672016E-5</v>
      </c>
      <c r="I28" s="164">
        <f t="shared" si="6"/>
        <v>7.1577175364973027E-5</v>
      </c>
      <c r="J28" s="164">
        <f t="shared" si="6"/>
        <v>1.0021131429918579E-4</v>
      </c>
      <c r="K28" s="164">
        <f t="shared" si="6"/>
        <v>1.8743008607721817E-4</v>
      </c>
      <c r="L28" s="164">
        <f t="shared" ref="L28:L34" si="7">L10/L$18</f>
        <v>3.1117954547966439E-4</v>
      </c>
      <c r="M28" s="164">
        <f t="shared" ref="M28:AH28" si="8">M10/M$18</f>
        <v>3.1305479038270135E-4</v>
      </c>
      <c r="N28" s="185">
        <f t="shared" si="8"/>
        <v>3.4015614295312594E-4</v>
      </c>
      <c r="O28" s="164">
        <f t="shared" si="8"/>
        <v>3.5622230263012946E-4</v>
      </c>
      <c r="P28" s="164">
        <f t="shared" si="8"/>
        <v>3.8330460213383948E-4</v>
      </c>
      <c r="Q28" s="164">
        <f t="shared" si="8"/>
        <v>4.7123582363685172E-4</v>
      </c>
      <c r="R28" s="164">
        <f t="shared" si="8"/>
        <v>4.7563011644598713E-4</v>
      </c>
      <c r="S28" s="164">
        <f t="shared" si="8"/>
        <v>5.2554097567194191E-4</v>
      </c>
      <c r="T28" s="164">
        <f t="shared" si="8"/>
        <v>5.3430540972905581E-4</v>
      </c>
      <c r="U28" s="164">
        <f t="shared" si="8"/>
        <v>5.3444703320404234E-4</v>
      </c>
      <c r="V28" s="164">
        <f t="shared" si="8"/>
        <v>5.4595555664561002E-4</v>
      </c>
      <c r="W28" s="164">
        <f t="shared" si="8"/>
        <v>5.5413908332740535E-4</v>
      </c>
      <c r="X28" s="185">
        <f t="shared" si="8"/>
        <v>6.2219757560503879E-4</v>
      </c>
      <c r="Y28" s="172">
        <f t="shared" si="8"/>
        <v>6.6540452442509837E-4</v>
      </c>
      <c r="Z28" s="172">
        <f t="shared" si="8"/>
        <v>6.798965617577674E-4</v>
      </c>
      <c r="AA28" s="172">
        <f t="shared" si="8"/>
        <v>6.8086209687767327E-4</v>
      </c>
      <c r="AB28" s="172">
        <f t="shared" si="8"/>
        <v>6.7965016533986741E-4</v>
      </c>
      <c r="AC28" s="172">
        <f t="shared" si="8"/>
        <v>6.7796902101245192E-4</v>
      </c>
      <c r="AD28" s="172">
        <f t="shared" si="8"/>
        <v>6.7380983764828693E-4</v>
      </c>
      <c r="AE28" s="172">
        <f t="shared" si="8"/>
        <v>6.739077944680113E-4</v>
      </c>
      <c r="AF28" s="172">
        <f t="shared" si="8"/>
        <v>6.7495707203053758E-4</v>
      </c>
      <c r="AG28" s="172">
        <f t="shared" si="8"/>
        <v>6.686979310843896E-4</v>
      </c>
      <c r="AH28" s="172">
        <f t="shared" si="8"/>
        <v>6.6244871350416986E-4</v>
      </c>
    </row>
    <row r="29" spans="1:34">
      <c r="A29" s="9" t="s">
        <v>50</v>
      </c>
      <c r="B29" s="37"/>
      <c r="C29" s="332">
        <f t="shared" ref="C29:K29" si="9">C11/C$18</f>
        <v>0</v>
      </c>
      <c r="D29" s="332">
        <f t="shared" si="9"/>
        <v>0</v>
      </c>
      <c r="E29" s="332">
        <f t="shared" si="9"/>
        <v>3.1897015371060534E-11</v>
      </c>
      <c r="F29" s="332">
        <f t="shared" si="9"/>
        <v>2.703045144923531E-11</v>
      </c>
      <c r="G29" s="332">
        <f t="shared" si="9"/>
        <v>2.3517290872001054E-11</v>
      </c>
      <c r="H29" s="164">
        <f t="shared" si="9"/>
        <v>2.3461033694176592E-11</v>
      </c>
      <c r="I29" s="164">
        <f t="shared" si="9"/>
        <v>2.3299601055073823E-11</v>
      </c>
      <c r="J29" s="164">
        <f t="shared" si="9"/>
        <v>2.3153374564661121E-11</v>
      </c>
      <c r="K29" s="164">
        <f t="shared" si="9"/>
        <v>2.3153058480465355E-11</v>
      </c>
      <c r="L29" s="164">
        <f t="shared" si="7"/>
        <v>2.315312693866883E-11</v>
      </c>
      <c r="M29" s="164">
        <f t="shared" ref="M29:AH29" si="10">M11/M$18</f>
        <v>2.3155456597639173E-11</v>
      </c>
      <c r="N29" s="185">
        <f t="shared" si="10"/>
        <v>2.314703330749632E-11</v>
      </c>
      <c r="O29" s="164">
        <f t="shared" si="10"/>
        <v>2.314424305976906E-11</v>
      </c>
      <c r="P29" s="164">
        <f t="shared" si="10"/>
        <v>2.3140913100614887E-11</v>
      </c>
      <c r="Q29" s="164">
        <f t="shared" si="10"/>
        <v>2.3135639924324015E-11</v>
      </c>
      <c r="R29" s="164">
        <f t="shared" si="10"/>
        <v>2.3121024846284197E-11</v>
      </c>
      <c r="S29" s="164">
        <f t="shared" si="10"/>
        <v>2.3098904764487958E-11</v>
      </c>
      <c r="T29" s="164">
        <f t="shared" si="10"/>
        <v>2.3066047046334848E-11</v>
      </c>
      <c r="U29" s="164">
        <f t="shared" si="10"/>
        <v>2.3030093329369848E-11</v>
      </c>
      <c r="V29" s="164">
        <f t="shared" si="10"/>
        <v>2.2994467443845439E-11</v>
      </c>
      <c r="W29" s="164">
        <f t="shared" si="10"/>
        <v>2.2957729845419213E-11</v>
      </c>
      <c r="X29" s="185">
        <f t="shared" si="10"/>
        <v>2.2914414802957055E-11</v>
      </c>
      <c r="Y29" s="172">
        <f t="shared" si="10"/>
        <v>2.2879757799952029E-11</v>
      </c>
      <c r="Z29" s="172">
        <f t="shared" si="10"/>
        <v>2.284627809825211E-11</v>
      </c>
      <c r="AA29" s="172">
        <f t="shared" si="10"/>
        <v>2.2783204001677244E-11</v>
      </c>
      <c r="AB29" s="172">
        <f t="shared" si="10"/>
        <v>2.2680549480180969E-11</v>
      </c>
      <c r="AC29" s="172">
        <f t="shared" si="10"/>
        <v>2.2610716696273332E-11</v>
      </c>
      <c r="AD29" s="172">
        <f t="shared" si="10"/>
        <v>2.2566927268935409E-11</v>
      </c>
      <c r="AE29" s="172">
        <f t="shared" si="10"/>
        <v>2.2438178405923628E-11</v>
      </c>
      <c r="AF29" s="172">
        <f t="shared" si="10"/>
        <v>2.2342214295610123E-11</v>
      </c>
      <c r="AG29" s="172">
        <f t="shared" si="10"/>
        <v>2.2150349226101219E-11</v>
      </c>
      <c r="AH29" s="172">
        <f t="shared" si="10"/>
        <v>2.1887746231307826E-11</v>
      </c>
    </row>
    <row r="30" spans="1:34">
      <c r="A30" s="9" t="s">
        <v>51</v>
      </c>
      <c r="B30" s="37"/>
      <c r="C30" s="332">
        <f t="shared" ref="C30:K30" si="11">C12/C$18</f>
        <v>0</v>
      </c>
      <c r="D30" s="332">
        <f t="shared" si="11"/>
        <v>0</v>
      </c>
      <c r="E30" s="332">
        <f t="shared" si="11"/>
        <v>1.4100346769407963E-5</v>
      </c>
      <c r="F30" s="332">
        <f t="shared" si="11"/>
        <v>1.3171630844065845E-5</v>
      </c>
      <c r="G30" s="332">
        <f t="shared" si="11"/>
        <v>1.3971182733716521E-5</v>
      </c>
      <c r="H30" s="164">
        <f t="shared" si="11"/>
        <v>1.3994494868059488E-5</v>
      </c>
      <c r="I30" s="164">
        <f t="shared" si="11"/>
        <v>1.3811232288652836E-5</v>
      </c>
      <c r="J30" s="164">
        <f t="shared" si="11"/>
        <v>1.3725357487330414E-5</v>
      </c>
      <c r="K30" s="164">
        <f t="shared" si="11"/>
        <v>1.3725628542671346E-5</v>
      </c>
      <c r="L30" s="164">
        <f t="shared" si="7"/>
        <v>1.3725483901143861E-5</v>
      </c>
      <c r="M30" s="164">
        <f t="shared" ref="M30:AH30" si="12">M12/M$18</f>
        <v>1.3726200392594558E-5</v>
      </c>
      <c r="N30" s="185">
        <f t="shared" si="12"/>
        <v>1.3719392467662909E-5</v>
      </c>
      <c r="O30" s="164">
        <f t="shared" si="12"/>
        <v>1.3716685607197179E-5</v>
      </c>
      <c r="P30" s="164">
        <f t="shared" si="12"/>
        <v>1.3713760979412463E-5</v>
      </c>
      <c r="Q30" s="164">
        <f t="shared" si="12"/>
        <v>1.3709564811132425E-5</v>
      </c>
      <c r="R30" s="164">
        <f t="shared" si="12"/>
        <v>1.3852860304141852E-5</v>
      </c>
      <c r="S30" s="164">
        <f t="shared" si="12"/>
        <v>1.3838967314800022E-5</v>
      </c>
      <c r="T30" s="164">
        <f t="shared" si="12"/>
        <v>1.3818384398471235E-5</v>
      </c>
      <c r="U30" s="164">
        <f t="shared" si="12"/>
        <v>1.3795894138811053E-5</v>
      </c>
      <c r="V30" s="164">
        <f t="shared" si="12"/>
        <v>1.3773543433165265E-5</v>
      </c>
      <c r="W30" s="164">
        <f t="shared" si="12"/>
        <v>1.3749444094519164E-5</v>
      </c>
      <c r="X30" s="185">
        <f t="shared" si="12"/>
        <v>1.3721041594819631E-5</v>
      </c>
      <c r="Y30" s="172">
        <f t="shared" si="12"/>
        <v>1.369804235555788E-5</v>
      </c>
      <c r="Z30" s="172">
        <f t="shared" si="12"/>
        <v>1.367568839987351E-5</v>
      </c>
      <c r="AA30" s="172">
        <f t="shared" si="12"/>
        <v>1.3635560772731018E-5</v>
      </c>
      <c r="AB30" s="172">
        <f t="shared" si="12"/>
        <v>1.3865479490059925E-5</v>
      </c>
      <c r="AC30" s="172">
        <f t="shared" si="12"/>
        <v>1.382149020745631E-5</v>
      </c>
      <c r="AD30" s="172">
        <f t="shared" si="12"/>
        <v>1.3793273787687808E-5</v>
      </c>
      <c r="AE30" s="172">
        <f t="shared" si="12"/>
        <v>1.3713056831694777E-5</v>
      </c>
      <c r="AF30" s="172">
        <f t="shared" si="12"/>
        <v>1.3652998725497198E-5</v>
      </c>
      <c r="AG30" s="172">
        <f t="shared" si="12"/>
        <v>1.3534386125389581E-5</v>
      </c>
      <c r="AH30" s="172">
        <f t="shared" si="12"/>
        <v>1.3372727860872043E-5</v>
      </c>
    </row>
    <row r="31" spans="1:34">
      <c r="A31" s="9" t="s">
        <v>347</v>
      </c>
      <c r="B31" s="37"/>
      <c r="C31" s="332">
        <f t="shared" ref="C31:K31" si="13">C13/C$18</f>
        <v>0</v>
      </c>
      <c r="D31" s="332">
        <f t="shared" si="13"/>
        <v>0</v>
      </c>
      <c r="E31" s="332">
        <f t="shared" si="13"/>
        <v>6.3794030742121066E-6</v>
      </c>
      <c r="F31" s="332">
        <f t="shared" si="13"/>
        <v>5.4060902898470614E-6</v>
      </c>
      <c r="G31" s="332">
        <f t="shared" si="13"/>
        <v>4.7034581744002104E-6</v>
      </c>
      <c r="H31" s="164">
        <f t="shared" si="13"/>
        <v>4.6922067388353179E-6</v>
      </c>
      <c r="I31" s="164">
        <f t="shared" si="13"/>
        <v>4.6599202110147636E-6</v>
      </c>
      <c r="J31" s="164">
        <f t="shared" si="13"/>
        <v>4.6306749129322233E-6</v>
      </c>
      <c r="K31" s="164">
        <f t="shared" si="13"/>
        <v>4.6306116960930705E-6</v>
      </c>
      <c r="L31" s="164">
        <f t="shared" si="7"/>
        <v>4.6306253877337652E-6</v>
      </c>
      <c r="M31" s="164">
        <f t="shared" ref="M31:AH31" si="14">M13/M$18</f>
        <v>4.6310913195278345E-6</v>
      </c>
      <c r="N31" s="185">
        <f t="shared" si="14"/>
        <v>4.6294066614992637E-6</v>
      </c>
      <c r="O31" s="164">
        <f t="shared" si="14"/>
        <v>4.6288486119538115E-6</v>
      </c>
      <c r="P31" s="164">
        <f t="shared" si="14"/>
        <v>4.6281826201229765E-6</v>
      </c>
      <c r="Q31" s="164">
        <f t="shared" si="14"/>
        <v>4.6271279848648029E-6</v>
      </c>
      <c r="R31" s="164">
        <f t="shared" si="14"/>
        <v>4.6242049692568384E-6</v>
      </c>
      <c r="S31" s="164">
        <f t="shared" si="14"/>
        <v>4.6197809528975912E-6</v>
      </c>
      <c r="T31" s="164">
        <f t="shared" si="14"/>
        <v>4.6132094092669694E-6</v>
      </c>
      <c r="U31" s="164">
        <f t="shared" si="14"/>
        <v>4.6060186658739693E-6</v>
      </c>
      <c r="V31" s="164">
        <f t="shared" si="14"/>
        <v>4.5988934887690875E-6</v>
      </c>
      <c r="W31" s="164">
        <f t="shared" si="14"/>
        <v>4.5915459690838421E-6</v>
      </c>
      <c r="X31" s="185">
        <f t="shared" si="14"/>
        <v>4.5828829605914109E-6</v>
      </c>
      <c r="Y31" s="172">
        <f t="shared" si="14"/>
        <v>4.5759515599904052E-6</v>
      </c>
      <c r="Z31" s="172">
        <f t="shared" si="14"/>
        <v>4.5692556196504219E-6</v>
      </c>
      <c r="AA31" s="172">
        <f t="shared" si="14"/>
        <v>4.5566408003354482E-6</v>
      </c>
      <c r="AB31" s="172">
        <f t="shared" si="14"/>
        <v>4.5361098960361937E-6</v>
      </c>
      <c r="AC31" s="172">
        <f t="shared" si="14"/>
        <v>4.5221433392546664E-6</v>
      </c>
      <c r="AD31" s="172">
        <f t="shared" si="14"/>
        <v>4.5133854537870811E-6</v>
      </c>
      <c r="AE31" s="172">
        <f t="shared" si="14"/>
        <v>4.4876356811847254E-6</v>
      </c>
      <c r="AF31" s="172">
        <f t="shared" si="14"/>
        <v>4.4684428591220244E-6</v>
      </c>
      <c r="AG31" s="172">
        <f t="shared" si="14"/>
        <v>4.4300698452202437E-6</v>
      </c>
      <c r="AH31" s="172">
        <f t="shared" si="14"/>
        <v>4.3775492462615648E-6</v>
      </c>
    </row>
    <row r="32" spans="1:34">
      <c r="A32" s="9" t="s">
        <v>348</v>
      </c>
      <c r="B32" s="37"/>
      <c r="C32" s="332">
        <f t="shared" ref="C32:K32" si="15">C14/C$18</f>
        <v>0</v>
      </c>
      <c r="D32" s="332">
        <f t="shared" si="15"/>
        <v>0</v>
      </c>
      <c r="E32" s="332">
        <f t="shared" si="15"/>
        <v>3.1897015371060533E-6</v>
      </c>
      <c r="F32" s="332">
        <f t="shared" si="15"/>
        <v>2.7030451449235307E-6</v>
      </c>
      <c r="G32" s="332">
        <f t="shared" si="15"/>
        <v>2.3517290872001052E-6</v>
      </c>
      <c r="H32" s="164">
        <f t="shared" si="15"/>
        <v>2.3461033694176589E-6</v>
      </c>
      <c r="I32" s="164">
        <f t="shared" si="15"/>
        <v>2.3299601055073818E-6</v>
      </c>
      <c r="J32" s="164">
        <f t="shared" si="15"/>
        <v>2.3153374564661117E-6</v>
      </c>
      <c r="K32" s="164">
        <f t="shared" si="15"/>
        <v>2.3153058480465353E-6</v>
      </c>
      <c r="L32" s="164">
        <f t="shared" si="7"/>
        <v>2.3153126938668826E-6</v>
      </c>
      <c r="M32" s="164">
        <f t="shared" ref="M32:AH32" si="16">M14/M$18</f>
        <v>2.3155456597639172E-6</v>
      </c>
      <c r="N32" s="185">
        <f t="shared" si="16"/>
        <v>2.3147033307496318E-6</v>
      </c>
      <c r="O32" s="164">
        <f t="shared" si="16"/>
        <v>2.3144243059769057E-6</v>
      </c>
      <c r="P32" s="164">
        <f t="shared" si="16"/>
        <v>2.3140913100614883E-6</v>
      </c>
      <c r="Q32" s="164">
        <f t="shared" si="16"/>
        <v>2.3135639924324014E-6</v>
      </c>
      <c r="R32" s="164">
        <f t="shared" si="16"/>
        <v>2.3121024846284192E-6</v>
      </c>
      <c r="S32" s="164">
        <f t="shared" si="16"/>
        <v>2.3098904764487956E-6</v>
      </c>
      <c r="T32" s="164">
        <f t="shared" si="16"/>
        <v>2.3066047046334847E-6</v>
      </c>
      <c r="U32" s="164">
        <f t="shared" si="16"/>
        <v>2.3030093329369847E-6</v>
      </c>
      <c r="V32" s="164">
        <f t="shared" si="16"/>
        <v>2.2994467443845438E-6</v>
      </c>
      <c r="W32" s="164">
        <f t="shared" si="16"/>
        <v>2.295772984541921E-6</v>
      </c>
      <c r="X32" s="185">
        <f t="shared" si="16"/>
        <v>2.2914414802957055E-6</v>
      </c>
      <c r="Y32" s="172">
        <f t="shared" si="16"/>
        <v>2.2879757799952026E-6</v>
      </c>
      <c r="Z32" s="172">
        <f t="shared" si="16"/>
        <v>2.2846278098252109E-6</v>
      </c>
      <c r="AA32" s="172">
        <f t="shared" si="16"/>
        <v>2.2783204001677241E-6</v>
      </c>
      <c r="AB32" s="172">
        <f t="shared" si="16"/>
        <v>2.2680549480180968E-6</v>
      </c>
      <c r="AC32" s="172">
        <f t="shared" si="16"/>
        <v>2.2610716696273332E-6</v>
      </c>
      <c r="AD32" s="172">
        <f t="shared" si="16"/>
        <v>2.2566927268935406E-6</v>
      </c>
      <c r="AE32" s="172">
        <f t="shared" si="16"/>
        <v>2.2438178405923627E-6</v>
      </c>
      <c r="AF32" s="172">
        <f t="shared" si="16"/>
        <v>2.2342214295610122E-6</v>
      </c>
      <c r="AG32" s="172">
        <f t="shared" si="16"/>
        <v>2.2150349226101219E-6</v>
      </c>
      <c r="AH32" s="172">
        <f t="shared" si="16"/>
        <v>2.1887746231307824E-6</v>
      </c>
    </row>
    <row r="33" spans="1:36">
      <c r="A33" s="9" t="s">
        <v>344</v>
      </c>
      <c r="B33" s="37"/>
      <c r="C33" s="332">
        <f t="shared" ref="C33:K33" si="17">C15/C$18</f>
        <v>1.3458769060981684E-5</v>
      </c>
      <c r="D33" s="332">
        <f t="shared" si="17"/>
        <v>1.0649513849692762E-5</v>
      </c>
      <c r="E33" s="332">
        <f t="shared" si="17"/>
        <v>3.1897015371060533E-6</v>
      </c>
      <c r="F33" s="332">
        <f t="shared" si="17"/>
        <v>2.7030451449235307E-6</v>
      </c>
      <c r="G33" s="332">
        <f t="shared" si="17"/>
        <v>2.3517290872001052E-6</v>
      </c>
      <c r="H33" s="164">
        <f t="shared" si="17"/>
        <v>2.3461033694176589E-6</v>
      </c>
      <c r="I33" s="164">
        <f t="shared" si="17"/>
        <v>2.3299601055073818E-6</v>
      </c>
      <c r="J33" s="164">
        <f t="shared" si="17"/>
        <v>2.3153374564661117E-6</v>
      </c>
      <c r="K33" s="164">
        <f t="shared" si="17"/>
        <v>2.3153058480465353E-6</v>
      </c>
      <c r="L33" s="164">
        <f t="shared" si="7"/>
        <v>2.3153126938668826E-6</v>
      </c>
      <c r="M33" s="164">
        <f t="shared" ref="M33:AH33" si="18">M15/M$18</f>
        <v>2.3155456597639172E-6</v>
      </c>
      <c r="N33" s="185">
        <f t="shared" si="18"/>
        <v>2.3147033307496318E-6</v>
      </c>
      <c r="O33" s="164">
        <f t="shared" si="18"/>
        <v>2.3144243059769057E-6</v>
      </c>
      <c r="P33" s="164">
        <f t="shared" si="18"/>
        <v>2.3140913100614883E-6</v>
      </c>
      <c r="Q33" s="164">
        <f t="shared" si="18"/>
        <v>2.3135639924324014E-6</v>
      </c>
      <c r="R33" s="164">
        <f t="shared" si="18"/>
        <v>2.3121024846284192E-6</v>
      </c>
      <c r="S33" s="164">
        <f t="shared" si="18"/>
        <v>2.3098904764487956E-6</v>
      </c>
      <c r="T33" s="164">
        <f t="shared" si="18"/>
        <v>2.3066047046334847E-6</v>
      </c>
      <c r="U33" s="164">
        <f t="shared" si="18"/>
        <v>2.3030093329369847E-6</v>
      </c>
      <c r="V33" s="164">
        <f t="shared" si="18"/>
        <v>2.2994467443845438E-6</v>
      </c>
      <c r="W33" s="164">
        <f t="shared" si="18"/>
        <v>2.295772984541921E-6</v>
      </c>
      <c r="X33" s="185">
        <f t="shared" si="18"/>
        <v>2.2914414802957055E-6</v>
      </c>
      <c r="Y33" s="172">
        <f t="shared" si="18"/>
        <v>2.2879757799952026E-6</v>
      </c>
      <c r="Z33" s="172">
        <f t="shared" si="18"/>
        <v>2.2846278098252109E-6</v>
      </c>
      <c r="AA33" s="172">
        <f t="shared" si="18"/>
        <v>2.2783204001677241E-6</v>
      </c>
      <c r="AB33" s="172">
        <f t="shared" si="18"/>
        <v>2.2680549480180968E-6</v>
      </c>
      <c r="AC33" s="172">
        <f t="shared" si="18"/>
        <v>2.2610716696273332E-6</v>
      </c>
      <c r="AD33" s="172">
        <f t="shared" si="18"/>
        <v>2.2566927268935406E-6</v>
      </c>
      <c r="AE33" s="172">
        <f t="shared" si="18"/>
        <v>2.2438178405923627E-6</v>
      </c>
      <c r="AF33" s="172">
        <f t="shared" si="18"/>
        <v>2.2342214295610122E-6</v>
      </c>
      <c r="AG33" s="172">
        <f t="shared" si="18"/>
        <v>2.2150349226101219E-6</v>
      </c>
      <c r="AH33" s="172">
        <f t="shared" si="18"/>
        <v>2.1887746231307824E-6</v>
      </c>
    </row>
    <row r="34" spans="1:36">
      <c r="A34" s="9" t="s">
        <v>53</v>
      </c>
      <c r="B34" s="37"/>
      <c r="C34" s="332">
        <f t="shared" ref="C34:K34" si="19">C16/C$18</f>
        <v>0.99864066432484089</v>
      </c>
      <c r="D34" s="332">
        <f t="shared" si="19"/>
        <v>0.99998935048615034</v>
      </c>
      <c r="E34" s="332">
        <f t="shared" si="19"/>
        <v>0.99990341149746886</v>
      </c>
      <c r="F34" s="332">
        <f t="shared" si="19"/>
        <v>0.99991910975457621</v>
      </c>
      <c r="G34" s="332">
        <f t="shared" si="19"/>
        <v>0.99992275401608144</v>
      </c>
      <c r="H34" s="164">
        <f t="shared" si="19"/>
        <v>0.99991559052490364</v>
      </c>
      <c r="I34" s="164">
        <f t="shared" si="19"/>
        <v>0.99990529172862486</v>
      </c>
      <c r="J34" s="164">
        <f t="shared" si="19"/>
        <v>0.99987680195523432</v>
      </c>
      <c r="K34" s="164">
        <f t="shared" si="19"/>
        <v>0.99978958303883481</v>
      </c>
      <c r="L34" s="164">
        <f t="shared" si="7"/>
        <v>0.99966583369669071</v>
      </c>
      <c r="M34" s="164">
        <f t="shared" ref="M34:AH34" si="20">M16/M$18</f>
        <v>0.99966395680343012</v>
      </c>
      <c r="N34" s="185">
        <f t="shared" si="20"/>
        <v>0.99963686562810927</v>
      </c>
      <c r="O34" s="164">
        <f t="shared" si="20"/>
        <v>0.99962080329139458</v>
      </c>
      <c r="P34" s="164">
        <f t="shared" si="20"/>
        <v>0.99959372524850554</v>
      </c>
      <c r="Q34" s="164">
        <f t="shared" si="20"/>
        <v>0.99950580033244663</v>
      </c>
      <c r="R34" s="164">
        <f t="shared" si="20"/>
        <v>0.99950126859019039</v>
      </c>
      <c r="S34" s="164">
        <f t="shared" si="20"/>
        <v>0.99945138047200865</v>
      </c>
      <c r="T34" s="164">
        <f t="shared" si="20"/>
        <v>0.999442649763988</v>
      </c>
      <c r="U34" s="164">
        <f t="shared" si="20"/>
        <v>0.99944254501229535</v>
      </c>
      <c r="V34" s="164">
        <f t="shared" si="20"/>
        <v>0.99943107308994927</v>
      </c>
      <c r="W34" s="164">
        <f t="shared" si="20"/>
        <v>0.99942292835768209</v>
      </c>
      <c r="X34" s="185">
        <f t="shared" si="20"/>
        <v>0.9993549155939645</v>
      </c>
      <c r="Y34" s="172">
        <f t="shared" si="20"/>
        <v>0.99931174550721957</v>
      </c>
      <c r="Z34" s="172">
        <f t="shared" si="20"/>
        <v>0.99929728921575689</v>
      </c>
      <c r="AA34" s="172">
        <f t="shared" si="20"/>
        <v>0.9992963890379658</v>
      </c>
      <c r="AB34" s="172">
        <f t="shared" si="20"/>
        <v>0.9992974121126974</v>
      </c>
      <c r="AC34" s="172">
        <f t="shared" si="20"/>
        <v>0.99929916517949091</v>
      </c>
      <c r="AD34" s="172">
        <f t="shared" si="20"/>
        <v>0.99930337009508963</v>
      </c>
      <c r="AE34" s="172">
        <f t="shared" si="20"/>
        <v>0.9993034038548998</v>
      </c>
      <c r="AF34" s="172">
        <f t="shared" si="20"/>
        <v>0.99930245302118337</v>
      </c>
      <c r="AG34" s="172">
        <f t="shared" si="20"/>
        <v>0.99930890752094947</v>
      </c>
      <c r="AH34" s="172">
        <f t="shared" si="20"/>
        <v>0.99931542343825475</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377</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246.89849999999998</v>
      </c>
      <c r="D42" s="331">
        <f>D7*Inputs!$C$48</f>
        <v>205.04849999999999</v>
      </c>
      <c r="E42" s="331">
        <f>E7*Inputs!$C$48</f>
        <v>308.10512482703962</v>
      </c>
      <c r="F42" s="331">
        <f>F7*Inputs!$C$48</f>
        <v>241.72466183505315</v>
      </c>
      <c r="G42" s="331">
        <f>G7*Inputs!$C$48</f>
        <v>310.35162956154397</v>
      </c>
      <c r="H42" s="14">
        <f>H7*Inputs!$C$48</f>
        <v>332.32986938173025</v>
      </c>
      <c r="I42" s="14">
        <f>I7*Inputs!$C$48</f>
        <v>352.74171705530335</v>
      </c>
      <c r="J42" s="14">
        <f>J7*Inputs!$C$48</f>
        <v>358.98438517177669</v>
      </c>
      <c r="K42" s="14">
        <f>K7*Inputs!$C$48</f>
        <v>395.42640497862391</v>
      </c>
      <c r="L42" s="14">
        <f>L7*Inputs!$C$48</f>
        <v>395.42640497862391</v>
      </c>
      <c r="M42" s="14">
        <f>M7*Inputs!$C$48</f>
        <v>395.42640497862391</v>
      </c>
      <c r="N42" s="190">
        <f>N7*Inputs!$C$48</f>
        <v>395.42637360811722</v>
      </c>
      <c r="O42" s="14">
        <f>O7*Inputs!$C$48</f>
        <v>400.22900997945447</v>
      </c>
      <c r="P42" s="14">
        <f>P7*Inputs!$C$48</f>
        <v>400.22900997945447</v>
      </c>
      <c r="Q42" s="14">
        <f>Q7*Inputs!$C$48</f>
        <v>417.05141289199969</v>
      </c>
      <c r="R42" s="14">
        <f>R7*Inputs!$C$48</f>
        <v>417.05141289199969</v>
      </c>
      <c r="S42" s="14">
        <f>S7*Inputs!$C$48</f>
        <v>417.05141289199969</v>
      </c>
      <c r="T42" s="14">
        <f>T7*Inputs!$C$48</f>
        <v>417.05141289199969</v>
      </c>
      <c r="U42" s="14">
        <f>U7*Inputs!$C$48</f>
        <v>417.05141289199969</v>
      </c>
      <c r="V42" s="14">
        <f>V7*Inputs!$C$48</f>
        <v>419.74802165837951</v>
      </c>
      <c r="W42" s="14">
        <f>W7*Inputs!$C$48</f>
        <v>419.74802165837951</v>
      </c>
      <c r="X42" s="187">
        <f>X7*Inputs!$C$48</f>
        <v>421.5029191804835</v>
      </c>
      <c r="Y42" s="14">
        <f>Y7*Inputs!$C$48</f>
        <v>426.69593013870804</v>
      </c>
      <c r="Z42" s="14">
        <f>Z7*Inputs!$C$48</f>
        <v>431.23364257993728</v>
      </c>
      <c r="AA42" s="14">
        <f>AA7*Inputs!$C$48</f>
        <v>431.23364257993728</v>
      </c>
      <c r="AB42" s="14">
        <f>AB7*Inputs!$C$48</f>
        <v>437.43374091865377</v>
      </c>
      <c r="AC42" s="14">
        <f>AC7*Inputs!$C$48</f>
        <v>442.94393907135088</v>
      </c>
      <c r="AD42" s="14">
        <f>AD7*Inputs!$C$48</f>
        <v>445.1963100906309</v>
      </c>
      <c r="AE42" s="14">
        <f>AE7*Inputs!$C$48</f>
        <v>445.1963100906309</v>
      </c>
      <c r="AF42" s="14">
        <f>AF7*Inputs!$C$48</f>
        <v>445.1963100906309</v>
      </c>
      <c r="AG42" s="14">
        <f>AG7*Inputs!$C$48</f>
        <v>445.1963100906309</v>
      </c>
      <c r="AH42" s="14">
        <f>AH7*Inputs!$C$48</f>
        <v>445.1963100906309</v>
      </c>
    </row>
    <row r="43" spans="1:36" ht="15">
      <c r="A43" s="8" t="s">
        <v>59</v>
      </c>
      <c r="B43" s="34">
        <v>0</v>
      </c>
      <c r="C43" s="331">
        <f>C8*Inputs!$C$53</f>
        <v>0</v>
      </c>
      <c r="D43" s="331">
        <f>D8*Inputs!$C$53</f>
        <v>0</v>
      </c>
      <c r="E43" s="331">
        <f>E8*Inputs!$C$53</f>
        <v>0</v>
      </c>
      <c r="F43" s="331">
        <f>F8*Inputs!$C$53</f>
        <v>0</v>
      </c>
      <c r="G43" s="331">
        <f>G8*Inputs!$C$53</f>
        <v>0</v>
      </c>
      <c r="H43" s="14">
        <f>H8*Inputs!$C$53</f>
        <v>0</v>
      </c>
      <c r="I43" s="14">
        <f>I8*Inputs!$C$53</f>
        <v>0</v>
      </c>
      <c r="J43" s="14">
        <f>J8*Inputs!$C$53</f>
        <v>0</v>
      </c>
      <c r="K43" s="14">
        <f>K8*Inputs!$C$53</f>
        <v>0</v>
      </c>
      <c r="L43" s="14">
        <f>L8*Inputs!$C$53</f>
        <v>0</v>
      </c>
      <c r="M43" s="14">
        <f>M8*Inputs!$C$53</f>
        <v>0</v>
      </c>
      <c r="N43" s="190">
        <f>N8*Inputs!$C$53</f>
        <v>0</v>
      </c>
      <c r="O43" s="14">
        <f>O8*Inputs!$C$53</f>
        <v>0</v>
      </c>
      <c r="P43" s="14">
        <f>P8*Inputs!$C$53</f>
        <v>0</v>
      </c>
      <c r="Q43" s="14">
        <f>Q8*Inputs!$C$53</f>
        <v>0</v>
      </c>
      <c r="R43" s="14">
        <f>R8*Inputs!$C$53</f>
        <v>0</v>
      </c>
      <c r="S43" s="14">
        <f>S8*Inputs!$C$53</f>
        <v>0</v>
      </c>
      <c r="T43" s="14">
        <f>T8*Inputs!$C$53</f>
        <v>0</v>
      </c>
      <c r="U43" s="14">
        <f>U8*Inputs!$C$53</f>
        <v>0</v>
      </c>
      <c r="V43" s="14">
        <f>V8*Inputs!$C$53</f>
        <v>0</v>
      </c>
      <c r="W43" s="14">
        <f>W8*Inputs!$C$53</f>
        <v>0</v>
      </c>
      <c r="X43" s="187">
        <f>X8*Inputs!$C$53</f>
        <v>0</v>
      </c>
      <c r="Y43" s="14">
        <f>Y8*Inputs!$C$53</f>
        <v>0</v>
      </c>
      <c r="Z43" s="14">
        <f>Z8*Inputs!$C$53</f>
        <v>0</v>
      </c>
      <c r="AA43" s="14">
        <f>AA8*Inputs!$C$53</f>
        <v>0</v>
      </c>
      <c r="AB43" s="14">
        <f>AB8*Inputs!$C$53</f>
        <v>0</v>
      </c>
      <c r="AC43" s="14">
        <f>AC8*Inputs!$C$53</f>
        <v>0</v>
      </c>
      <c r="AD43" s="14">
        <f>AD8*Inputs!$C$53</f>
        <v>0</v>
      </c>
      <c r="AE43" s="14">
        <f>AE8*Inputs!$C$53</f>
        <v>0</v>
      </c>
      <c r="AF43" s="14">
        <f>AF8*Inputs!$C$53</f>
        <v>0</v>
      </c>
      <c r="AG43" s="14">
        <f>AG8*Inputs!$C$53</f>
        <v>0</v>
      </c>
      <c r="AH43" s="14">
        <f>AH8*Inputs!$C$53</f>
        <v>0</v>
      </c>
    </row>
    <row r="44" spans="1:36" ht="15">
      <c r="A44" s="8" t="s">
        <v>121</v>
      </c>
      <c r="B44" s="34">
        <v>1</v>
      </c>
      <c r="C44" s="331">
        <f>C10*Inputs!$C$46</f>
        <v>0.21</v>
      </c>
      <c r="D44" s="331">
        <f>D10*Inputs!$C$46</f>
        <v>0</v>
      </c>
      <c r="E44" s="331">
        <f>E10*Inputs!$C$46</f>
        <v>4.5907607812500001E-2</v>
      </c>
      <c r="F44" s="331">
        <f>F10*Inputs!$C$46</f>
        <v>4.4210676562500002E-2</v>
      </c>
      <c r="G44" s="331">
        <f>G10*Inputs!$C$46</f>
        <v>4.8101845312500009E-2</v>
      </c>
      <c r="H44" s="14">
        <f>H10*Inputs!$C$46</f>
        <v>5.4628514062500001E-2</v>
      </c>
      <c r="I44" s="14">
        <f>I10*Inputs!$C$46</f>
        <v>6.4512721874999984E-2</v>
      </c>
      <c r="J44" s="14">
        <f>J10*Inputs!$C$46</f>
        <v>9.0891182812500013E-2</v>
      </c>
      <c r="K44" s="14">
        <f>K10*Inputs!$C$46</f>
        <v>0.17000051250000001</v>
      </c>
      <c r="L44" s="14">
        <f>L10*Inputs!$C$46</f>
        <v>0.282241378125</v>
      </c>
      <c r="M44" s="14">
        <f>M10*Inputs!$C$46</f>
        <v>0.28391366718749994</v>
      </c>
      <c r="N44" s="190">
        <f>N10*Inputs!$C$46</f>
        <v>0.30860451562500008</v>
      </c>
      <c r="O44" s="14">
        <f>O10*Inputs!$C$46</f>
        <v>0.32321939999999999</v>
      </c>
      <c r="P44" s="14">
        <f>P10*Inputs!$C$46</f>
        <v>0.34784265468750003</v>
      </c>
      <c r="Q44" s="14">
        <f>Q10*Inputs!$C$46</f>
        <v>0.42773626874999998</v>
      </c>
      <c r="R44" s="14">
        <f>R10*Inputs!$C$46</f>
        <v>0.43199782499999995</v>
      </c>
      <c r="S44" s="14">
        <f>S10*Inputs!$C$46</f>
        <v>0.47778717656250003</v>
      </c>
      <c r="T44" s="14">
        <f>T10*Inputs!$C$46</f>
        <v>0.48644718281249999</v>
      </c>
      <c r="U44" s="14">
        <f>U10*Inputs!$C$46</f>
        <v>0.48733574531250007</v>
      </c>
      <c r="V44" s="14">
        <f>V10*Inputs!$C$46</f>
        <v>0.49860109687499993</v>
      </c>
      <c r="W44" s="14">
        <f>W10*Inputs!$C$46</f>
        <v>0.50688464531249999</v>
      </c>
      <c r="X44" s="187">
        <f>X10*Inputs!$C$46</f>
        <v>0.5702152640625</v>
      </c>
      <c r="Y44" s="14">
        <f>Y10*Inputs!$C$46</f>
        <v>0.61073614218750005</v>
      </c>
      <c r="Z44" s="14">
        <f>Z10*Inputs!$C$46</f>
        <v>0.62495202656250004</v>
      </c>
      <c r="AA44" s="14">
        <f>AA10*Inputs!$C$46</f>
        <v>0.62757213749999996</v>
      </c>
      <c r="AB44" s="14">
        <f>AB10*Inputs!$C$46</f>
        <v>0.62929046249999998</v>
      </c>
      <c r="AC44" s="14">
        <f>AC10*Inputs!$C$46</f>
        <v>0.62967262968749993</v>
      </c>
      <c r="AD44" s="14">
        <f>AD10*Inputs!$C$46</f>
        <v>0.62702407031249985</v>
      </c>
      <c r="AE44" s="14">
        <f>AE10*Inputs!$C$46</f>
        <v>0.6307135734374999</v>
      </c>
      <c r="AF44" s="14">
        <f>AF10*Inputs!$C$46</f>
        <v>0.63440885156250004</v>
      </c>
      <c r="AG44" s="14">
        <f>AG10*Inputs!$C$46</f>
        <v>0.63396998437499996</v>
      </c>
      <c r="AH44" s="14">
        <f>AH10*Inputs!$C$46</f>
        <v>0.63558042187499997</v>
      </c>
    </row>
    <row r="45" spans="1:36" ht="15">
      <c r="A45" s="8" t="s">
        <v>50</v>
      </c>
      <c r="B45" s="34">
        <v>1</v>
      </c>
      <c r="C45" s="331">
        <f>C11*Inputs!$C$49</f>
        <v>0</v>
      </c>
      <c r="D45" s="331">
        <f>D11*Inputs!$C$49</f>
        <v>0</v>
      </c>
      <c r="E45" s="331">
        <f>E11*Inputs!$C$49</f>
        <v>2.5000000000000002E-8</v>
      </c>
      <c r="F45" s="331">
        <f>F11*Inputs!$C$49</f>
        <v>2.5000000000000002E-8</v>
      </c>
      <c r="G45" s="331">
        <f>G11*Inputs!$C$49</f>
        <v>2.5000000000000002E-8</v>
      </c>
      <c r="H45" s="14">
        <f>H11*Inputs!$C$49</f>
        <v>2.5000000000000002E-8</v>
      </c>
      <c r="I45" s="14">
        <f>I11*Inputs!$C$49</f>
        <v>2.5000000000000002E-8</v>
      </c>
      <c r="J45" s="14">
        <f>J11*Inputs!$C$49</f>
        <v>2.5000000000000002E-8</v>
      </c>
      <c r="K45" s="14">
        <f>K11*Inputs!$C$49</f>
        <v>2.5000000000000002E-8</v>
      </c>
      <c r="L45" s="14">
        <f>L11*Inputs!$C$49</f>
        <v>2.5000000000000002E-8</v>
      </c>
      <c r="M45" s="14">
        <f>M11*Inputs!$C$49</f>
        <v>2.5000000000000002E-8</v>
      </c>
      <c r="N45" s="190">
        <f>N11*Inputs!$C$49</f>
        <v>2.5000000000000002E-8</v>
      </c>
      <c r="O45" s="14">
        <f>O11*Inputs!$C$49</f>
        <v>2.5000000000000002E-8</v>
      </c>
      <c r="P45" s="14">
        <f>P11*Inputs!$C$49</f>
        <v>2.5000000000000002E-8</v>
      </c>
      <c r="Q45" s="14">
        <f>Q11*Inputs!$C$49</f>
        <v>2.5000000000000002E-8</v>
      </c>
      <c r="R45" s="14">
        <f>R11*Inputs!$C$49</f>
        <v>2.5000000000000002E-8</v>
      </c>
      <c r="S45" s="14">
        <f>S11*Inputs!$C$49</f>
        <v>2.5000000000000002E-8</v>
      </c>
      <c r="T45" s="14">
        <f>T11*Inputs!$C$49</f>
        <v>2.5000000000000002E-8</v>
      </c>
      <c r="U45" s="14">
        <f>U11*Inputs!$C$49</f>
        <v>2.5000000000000002E-8</v>
      </c>
      <c r="V45" s="14">
        <f>V11*Inputs!$C$49</f>
        <v>2.5000000000000002E-8</v>
      </c>
      <c r="W45" s="14">
        <f>W11*Inputs!$C$49</f>
        <v>2.5000000000000002E-8</v>
      </c>
      <c r="X45" s="187">
        <f>X11*Inputs!$C$49</f>
        <v>2.5000000000000002E-8</v>
      </c>
      <c r="Y45" s="14">
        <f>Y11*Inputs!$C$49</f>
        <v>2.5000000000000002E-8</v>
      </c>
      <c r="Z45" s="14">
        <f>Z11*Inputs!$C$49</f>
        <v>2.5000000000000002E-8</v>
      </c>
      <c r="AA45" s="14">
        <f>AA11*Inputs!$C$49</f>
        <v>2.5000000000000002E-8</v>
      </c>
      <c r="AB45" s="14">
        <f>AB11*Inputs!$C$49</f>
        <v>2.5000000000000002E-8</v>
      </c>
      <c r="AC45" s="14">
        <f>AC11*Inputs!$C$49</f>
        <v>2.5000000000000002E-8</v>
      </c>
      <c r="AD45" s="14">
        <f>AD11*Inputs!$C$49</f>
        <v>2.5000000000000002E-8</v>
      </c>
      <c r="AE45" s="14">
        <f>AE11*Inputs!$C$49</f>
        <v>2.5000000000000002E-8</v>
      </c>
      <c r="AF45" s="14">
        <f>AF11*Inputs!$C$49</f>
        <v>2.5000000000000002E-8</v>
      </c>
      <c r="AG45" s="14">
        <f>AG11*Inputs!$C$49</f>
        <v>2.5000000000000002E-8</v>
      </c>
      <c r="AH45" s="14">
        <f>AH11*Inputs!$C$49</f>
        <v>2.5000000000000002E-8</v>
      </c>
    </row>
    <row r="46" spans="1:36" ht="15">
      <c r="A46" s="8" t="s">
        <v>51</v>
      </c>
      <c r="B46" s="34">
        <v>1</v>
      </c>
      <c r="C46" s="331">
        <f>C12*Inputs!$C$52</f>
        <v>0</v>
      </c>
      <c r="D46" s="331">
        <f>D12*Inputs!$C$52</f>
        <v>0</v>
      </c>
      <c r="E46" s="331">
        <f>E12*Inputs!$C$52</f>
        <v>6.6308775000000009E-3</v>
      </c>
      <c r="F46" s="331">
        <f>F12*Inputs!$C$52</f>
        <v>7.3093290000000007E-3</v>
      </c>
      <c r="G46" s="331">
        <f>G12*Inputs!$C$52</f>
        <v>8.9112194999999995E-3</v>
      </c>
      <c r="H46" s="14">
        <f>H12*Inputs!$C$52</f>
        <v>8.9474924999999993E-3</v>
      </c>
      <c r="I46" s="14">
        <f>I12*Inputs!$C$52</f>
        <v>8.8915035E-3</v>
      </c>
      <c r="J46" s="14">
        <f>J12*Inputs!$C$52</f>
        <v>8.8920240000000001E-3</v>
      </c>
      <c r="K46" s="14">
        <f>K12*Inputs!$C$52</f>
        <v>8.8923210000000016E-3</v>
      </c>
      <c r="L46" s="14">
        <f>L12*Inputs!$C$52</f>
        <v>8.8922010000000006E-3</v>
      </c>
      <c r="M46" s="14">
        <f>M12*Inputs!$C$52</f>
        <v>8.8917705E-3</v>
      </c>
      <c r="N46" s="190">
        <f>N12*Inputs!$C$52</f>
        <v>8.8905945000000014E-3</v>
      </c>
      <c r="O46" s="14">
        <f>O12*Inputs!$C$52</f>
        <v>8.8899119999999998E-3</v>
      </c>
      <c r="P46" s="14">
        <f>P12*Inputs!$C$52</f>
        <v>8.8892954999999999E-3</v>
      </c>
      <c r="Q46" s="14">
        <f>Q12*Inputs!$C$52</f>
        <v>8.8886010000000012E-3</v>
      </c>
      <c r="R46" s="14">
        <f>R12*Inputs!$C$52</f>
        <v>8.9871840000000005E-3</v>
      </c>
      <c r="S46" s="14">
        <f>S12*Inputs!$C$52</f>
        <v>8.9867685000000024E-3</v>
      </c>
      <c r="T46" s="14">
        <f>T12*Inputs!$C$52</f>
        <v>8.9861850000000007E-3</v>
      </c>
      <c r="U46" s="14">
        <f>U12*Inputs!$C$52</f>
        <v>8.9855654999999989E-3</v>
      </c>
      <c r="V46" s="14">
        <f>V12*Inputs!$C$52</f>
        <v>8.9849070000000003E-3</v>
      </c>
      <c r="W46" s="14">
        <f>W12*Inputs!$C$52</f>
        <v>8.9835390000000005E-3</v>
      </c>
      <c r="X46" s="187">
        <f>X12*Inputs!$C$52</f>
        <v>8.9819280000000001E-3</v>
      </c>
      <c r="Y46" s="14">
        <f>Y12*Inputs!$C$52</f>
        <v>8.980455E-3</v>
      </c>
      <c r="Z46" s="14">
        <f>Z12*Inputs!$C$52</f>
        <v>8.9789385000000003E-3</v>
      </c>
      <c r="AA46" s="14">
        <f>AA12*Inputs!$C$52</f>
        <v>8.9773770000000017E-3</v>
      </c>
      <c r="AB46" s="14">
        <f>AB12*Inputs!$C$52</f>
        <v>9.1700684999999997E-3</v>
      </c>
      <c r="AC46" s="14">
        <f>AC12*Inputs!$C$52</f>
        <v>9.1692075000000001E-3</v>
      </c>
      <c r="AD46" s="14">
        <f>AD12*Inputs!$C$52</f>
        <v>9.1682445000000022E-3</v>
      </c>
      <c r="AE46" s="14">
        <f>AE12*Inputs!$C$52</f>
        <v>9.1672260000000005E-3</v>
      </c>
      <c r="AF46" s="14">
        <f>AF12*Inputs!$C$52</f>
        <v>9.1662794999999991E-3</v>
      </c>
      <c r="AG46" s="14">
        <f>AG12*Inputs!$C$52</f>
        <v>9.1653540000000006E-3</v>
      </c>
      <c r="AH46" s="14">
        <f>AH12*Inputs!$C$52</f>
        <v>9.1645305000000003E-3</v>
      </c>
    </row>
    <row r="47" spans="1:36" ht="15">
      <c r="A47" s="8" t="s">
        <v>347</v>
      </c>
      <c r="B47" s="34">
        <v>1</v>
      </c>
      <c r="C47" s="331">
        <f>C13*Inputs!$C$54</f>
        <v>0</v>
      </c>
      <c r="D47" s="331">
        <f>D13*Inputs!$C$54</f>
        <v>0</v>
      </c>
      <c r="E47" s="331">
        <f>E13*Inputs!$C$54</f>
        <v>1.5800000000000002E-2</v>
      </c>
      <c r="F47" s="331">
        <f>F13*Inputs!$C$54</f>
        <v>1.5800000000000002E-2</v>
      </c>
      <c r="G47" s="331">
        <f>G13*Inputs!$C$54</f>
        <v>1.5800000000000002E-2</v>
      </c>
      <c r="H47" s="14">
        <f>H13*Inputs!$C$54</f>
        <v>1.5800000000000002E-2</v>
      </c>
      <c r="I47" s="14">
        <f>I13*Inputs!$C$54</f>
        <v>1.5800000000000002E-2</v>
      </c>
      <c r="J47" s="14">
        <f>J13*Inputs!$C$54</f>
        <v>1.5800000000000002E-2</v>
      </c>
      <c r="K47" s="14">
        <f>K13*Inputs!$C$54</f>
        <v>1.5800000000000002E-2</v>
      </c>
      <c r="L47" s="14">
        <f>L13*Inputs!$C$54</f>
        <v>1.5800000000000002E-2</v>
      </c>
      <c r="M47" s="14">
        <f>M13*Inputs!$C$54</f>
        <v>1.5800000000000002E-2</v>
      </c>
      <c r="N47" s="190">
        <f>N13*Inputs!$C$54</f>
        <v>1.5800000000000002E-2</v>
      </c>
      <c r="O47" s="14">
        <f>O13*Inputs!$C$54</f>
        <v>1.5800000000000002E-2</v>
      </c>
      <c r="P47" s="14">
        <f>P13*Inputs!$C$54</f>
        <v>1.5800000000000002E-2</v>
      </c>
      <c r="Q47" s="14">
        <f>Q13*Inputs!$C$54</f>
        <v>1.5800000000000002E-2</v>
      </c>
      <c r="R47" s="14">
        <f>R13*Inputs!$C$54</f>
        <v>1.5800000000000002E-2</v>
      </c>
      <c r="S47" s="14">
        <f>S13*Inputs!$C$54</f>
        <v>1.5800000000000002E-2</v>
      </c>
      <c r="T47" s="14">
        <f>T13*Inputs!$C$54</f>
        <v>1.5800000000000002E-2</v>
      </c>
      <c r="U47" s="14">
        <f>U13*Inputs!$C$54</f>
        <v>1.5800000000000002E-2</v>
      </c>
      <c r="V47" s="14">
        <f>V13*Inputs!$C$54</f>
        <v>1.5800000000000002E-2</v>
      </c>
      <c r="W47" s="14">
        <f>W13*Inputs!$C$54</f>
        <v>1.5800000000000002E-2</v>
      </c>
      <c r="X47" s="187">
        <f>X13*Inputs!$C$54</f>
        <v>1.5800000000000002E-2</v>
      </c>
      <c r="Y47" s="14">
        <f>Y13*Inputs!$C$54</f>
        <v>1.5800000000000002E-2</v>
      </c>
      <c r="Z47" s="14">
        <f>Z13*Inputs!$C$54</f>
        <v>1.5800000000000002E-2</v>
      </c>
      <c r="AA47" s="14">
        <f>AA13*Inputs!$C$54</f>
        <v>1.5800000000000002E-2</v>
      </c>
      <c r="AB47" s="14">
        <f>AB13*Inputs!$C$54</f>
        <v>1.5800000000000002E-2</v>
      </c>
      <c r="AC47" s="14">
        <f>AC13*Inputs!$C$54</f>
        <v>1.5800000000000002E-2</v>
      </c>
      <c r="AD47" s="14">
        <f>AD13*Inputs!$C$54</f>
        <v>1.5800000000000002E-2</v>
      </c>
      <c r="AE47" s="14">
        <f>AE13*Inputs!$C$54</f>
        <v>1.5800000000000002E-2</v>
      </c>
      <c r="AF47" s="14">
        <f>AF13*Inputs!$C$54</f>
        <v>1.5800000000000002E-2</v>
      </c>
      <c r="AG47" s="14">
        <f>AG13*Inputs!$C$54</f>
        <v>1.5800000000000002E-2</v>
      </c>
      <c r="AH47" s="14">
        <f>AH13*Inputs!$C$54</f>
        <v>1.5800000000000002E-2</v>
      </c>
    </row>
    <row r="48" spans="1:36" ht="15">
      <c r="A48" s="8" t="s">
        <v>348</v>
      </c>
      <c r="B48" s="34">
        <v>1</v>
      </c>
      <c r="C48" s="331">
        <f>C14*Inputs!$C$55</f>
        <v>0</v>
      </c>
      <c r="D48" s="331">
        <f>D14*Inputs!$C$55</f>
        <v>0</v>
      </c>
      <c r="E48" s="331">
        <f>E14*Inputs!$C$55</f>
        <v>2.3E-3</v>
      </c>
      <c r="F48" s="331">
        <f>F14*Inputs!$C$55</f>
        <v>2.3E-3</v>
      </c>
      <c r="G48" s="331">
        <f>G14*Inputs!$C$55</f>
        <v>2.3E-3</v>
      </c>
      <c r="H48" s="14">
        <f>H14*Inputs!$C$55</f>
        <v>2.3E-3</v>
      </c>
      <c r="I48" s="14">
        <f>I14*Inputs!$C$55</f>
        <v>2.3E-3</v>
      </c>
      <c r="J48" s="14">
        <f>J14*Inputs!$C$55</f>
        <v>2.3E-3</v>
      </c>
      <c r="K48" s="14">
        <f>K14*Inputs!$C$55</f>
        <v>2.3E-3</v>
      </c>
      <c r="L48" s="14">
        <f>L14*Inputs!$C$55</f>
        <v>2.3E-3</v>
      </c>
      <c r="M48" s="14">
        <f>M14*Inputs!$C$55</f>
        <v>2.3E-3</v>
      </c>
      <c r="N48" s="190">
        <f>N14*Inputs!$C$55</f>
        <v>2.3E-3</v>
      </c>
      <c r="O48" s="14">
        <f>O14*Inputs!$C$55</f>
        <v>2.3E-3</v>
      </c>
      <c r="P48" s="14">
        <f>P14*Inputs!$C$55</f>
        <v>2.3E-3</v>
      </c>
      <c r="Q48" s="14">
        <f>Q14*Inputs!$C$55</f>
        <v>2.3E-3</v>
      </c>
      <c r="R48" s="14">
        <f>R14*Inputs!$C$55</f>
        <v>2.3E-3</v>
      </c>
      <c r="S48" s="14">
        <f>S14*Inputs!$C$55</f>
        <v>2.3E-3</v>
      </c>
      <c r="T48" s="14">
        <f>T14*Inputs!$C$55</f>
        <v>2.3E-3</v>
      </c>
      <c r="U48" s="14">
        <f>U14*Inputs!$C$55</f>
        <v>2.3E-3</v>
      </c>
      <c r="V48" s="14">
        <f>V14*Inputs!$C$55</f>
        <v>2.3E-3</v>
      </c>
      <c r="W48" s="14">
        <f>W14*Inputs!$C$55</f>
        <v>2.3E-3</v>
      </c>
      <c r="X48" s="187">
        <f>X14*Inputs!$C$55</f>
        <v>2.3E-3</v>
      </c>
      <c r="Y48" s="14">
        <f>Y14*Inputs!$C$55</f>
        <v>2.3E-3</v>
      </c>
      <c r="Z48" s="14">
        <f>Z14*Inputs!$C$55</f>
        <v>2.3E-3</v>
      </c>
      <c r="AA48" s="14">
        <f>AA14*Inputs!$C$55</f>
        <v>2.3E-3</v>
      </c>
      <c r="AB48" s="14">
        <f>AB14*Inputs!$C$55</f>
        <v>2.3E-3</v>
      </c>
      <c r="AC48" s="14">
        <f>AC14*Inputs!$C$55</f>
        <v>2.3E-3</v>
      </c>
      <c r="AD48" s="14">
        <f>AD14*Inputs!$C$55</f>
        <v>2.3E-3</v>
      </c>
      <c r="AE48" s="14">
        <f>AE14*Inputs!$C$55</f>
        <v>2.3E-3</v>
      </c>
      <c r="AF48" s="14">
        <f>AF14*Inputs!$C$55</f>
        <v>2.3E-3</v>
      </c>
      <c r="AG48" s="14">
        <f>AG14*Inputs!$C$55</f>
        <v>2.3E-3</v>
      </c>
      <c r="AH48" s="14">
        <f>AH14*Inputs!$C$55</f>
        <v>2.3E-3</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126.14000000000001</v>
      </c>
      <c r="D50" s="331">
        <f>D16*Inputs!$C$57</f>
        <v>159.63000000000002</v>
      </c>
      <c r="E50" s="331">
        <f>E16*Inputs!$C$57</f>
        <v>532.9137475</v>
      </c>
      <c r="F50" s="331">
        <f>F16*Inputs!$C$57</f>
        <v>628.86944000000005</v>
      </c>
      <c r="G50" s="331">
        <f>G16*Inputs!$C$57</f>
        <v>722.81654000000003</v>
      </c>
      <c r="H50" s="14">
        <f>H16*Inputs!$C$57</f>
        <v>724.54459000000008</v>
      </c>
      <c r="I50" s="14">
        <f>I16*Inputs!$C$57</f>
        <v>729.55712500000004</v>
      </c>
      <c r="J50" s="14">
        <f>J16*Inputs!$C$57</f>
        <v>734.14376749999997</v>
      </c>
      <c r="K50" s="14">
        <f>K16*Inputs!$C$57</f>
        <v>734.08975000000009</v>
      </c>
      <c r="L50" s="14">
        <f>L16*Inputs!$C$57</f>
        <v>733.99671750000005</v>
      </c>
      <c r="M50" s="14">
        <f>M16*Inputs!$C$57</f>
        <v>733.9214925</v>
      </c>
      <c r="N50" s="190">
        <f>N16*Inputs!$C$57</f>
        <v>734.16867250000007</v>
      </c>
      <c r="O50" s="14">
        <f>O16*Inputs!$C$57</f>
        <v>734.24538499999994</v>
      </c>
      <c r="P50" s="14">
        <f>P16*Inputs!$C$57</f>
        <v>734.33115000000009</v>
      </c>
      <c r="Q50" s="14">
        <f>Q16*Inputs!$C$57</f>
        <v>734.43391500000018</v>
      </c>
      <c r="R50" s="14">
        <f>R16*Inputs!$C$57</f>
        <v>734.89482750000002</v>
      </c>
      <c r="S50" s="14">
        <f>S16*Inputs!$C$57</f>
        <v>735.56186500000001</v>
      </c>
      <c r="T50" s="14">
        <f>T16*Inputs!$C$57</f>
        <v>736.60324250000008</v>
      </c>
      <c r="U50" s="14">
        <f>U16*Inputs!$C$57</f>
        <v>737.7531224999999</v>
      </c>
      <c r="V50" s="14">
        <f>V16*Inputs!$C$57</f>
        <v>738.8876600000001</v>
      </c>
      <c r="W50" s="14">
        <f>W16*Inputs!$C$57</f>
        <v>740.06401750000009</v>
      </c>
      <c r="X50" s="187">
        <f>X16*Inputs!$C$57</f>
        <v>741.41250000000002</v>
      </c>
      <c r="Y50" s="14">
        <f>Y16*Inputs!$C$57</f>
        <v>742.50347499999998</v>
      </c>
      <c r="Z50" s="14">
        <f>Z16*Inputs!$C$57</f>
        <v>743.58080750000011</v>
      </c>
      <c r="AA50" s="14">
        <f>AA16*Inputs!$C$57</f>
        <v>745.6387000000002</v>
      </c>
      <c r="AB50" s="14">
        <f>AB16*Inputs!$C$57</f>
        <v>749.01430499999992</v>
      </c>
      <c r="AC50" s="14">
        <f>AC16*Inputs!$C$57</f>
        <v>751.3289400000001</v>
      </c>
      <c r="AD50" s="14">
        <f>AD16*Inputs!$C$57</f>
        <v>752.79000500000018</v>
      </c>
      <c r="AE50" s="14">
        <f>AE16*Inputs!$C$57</f>
        <v>757.1094925000001</v>
      </c>
      <c r="AF50" s="14">
        <f>AF16*Inputs!$C$57</f>
        <v>760.36070000000007</v>
      </c>
      <c r="AG50" s="14">
        <f>AG16*Inputs!$C$57</f>
        <v>766.95185500000002</v>
      </c>
      <c r="AH50" s="14">
        <f>AH16*Inputs!$C$57</f>
        <v>776.15858750000007</v>
      </c>
    </row>
    <row r="51" spans="1:34" s="20" customFormat="1" ht="15">
      <c r="A51" s="8" t="s">
        <v>128</v>
      </c>
      <c r="B51" s="38"/>
      <c r="C51" s="334">
        <f t="shared" ref="C51:AH51" si="21">SUMPRODUCT($B42:$B50,C42:C50)</f>
        <v>126.35270000000001</v>
      </c>
      <c r="D51" s="334">
        <f t="shared" si="21"/>
        <v>159.63270000000003</v>
      </c>
      <c r="E51" s="334">
        <f t="shared" si="21"/>
        <v>532.98708601031251</v>
      </c>
      <c r="F51" s="334">
        <f t="shared" si="21"/>
        <v>628.94176003056259</v>
      </c>
      <c r="G51" s="334">
        <f t="shared" si="21"/>
        <v>722.89435308981251</v>
      </c>
      <c r="H51" s="19">
        <f t="shared" si="21"/>
        <v>724.62896603156264</v>
      </c>
      <c r="I51" s="19">
        <f t="shared" si="21"/>
        <v>729.65132925037506</v>
      </c>
      <c r="J51" s="19">
        <f t="shared" si="21"/>
        <v>734.26435073181244</v>
      </c>
      <c r="K51" s="19">
        <f t="shared" si="21"/>
        <v>734.28944285850014</v>
      </c>
      <c r="L51" s="19">
        <f t="shared" si="21"/>
        <v>734.30865110412503</v>
      </c>
      <c r="M51" s="19">
        <f t="shared" si="21"/>
        <v>734.23509796268752</v>
      </c>
      <c r="N51" s="190">
        <f t="shared" si="21"/>
        <v>734.50696763512508</v>
      </c>
      <c r="O51" s="19">
        <f t="shared" si="21"/>
        <v>734.59829433699997</v>
      </c>
      <c r="P51" s="19">
        <f t="shared" si="21"/>
        <v>734.70868197518757</v>
      </c>
      <c r="Q51" s="19">
        <f t="shared" si="21"/>
        <v>734.89133989475022</v>
      </c>
      <c r="R51" s="19">
        <f t="shared" si="21"/>
        <v>735.35661253399996</v>
      </c>
      <c r="S51" s="19">
        <f t="shared" si="21"/>
        <v>736.06943897006249</v>
      </c>
      <c r="T51" s="19">
        <f t="shared" si="21"/>
        <v>737.1194758928126</v>
      </c>
      <c r="U51" s="19">
        <f t="shared" si="21"/>
        <v>738.27024383581238</v>
      </c>
      <c r="V51" s="19">
        <f t="shared" si="21"/>
        <v>739.41604602887514</v>
      </c>
      <c r="W51" s="19">
        <f t="shared" si="21"/>
        <v>740.60068570931264</v>
      </c>
      <c r="X51" s="182">
        <f t="shared" si="21"/>
        <v>742.01249721706256</v>
      </c>
      <c r="Y51" s="19">
        <f t="shared" si="21"/>
        <v>743.14399162218751</v>
      </c>
      <c r="Z51" s="19">
        <f t="shared" si="21"/>
        <v>744.23553849006259</v>
      </c>
      <c r="AA51" s="19">
        <f t="shared" si="21"/>
        <v>746.29604953950025</v>
      </c>
      <c r="AB51" s="19">
        <f t="shared" si="21"/>
        <v>749.67356555599997</v>
      </c>
      <c r="AC51" s="19">
        <f t="shared" si="21"/>
        <v>751.98858186218763</v>
      </c>
      <c r="AD51" s="19">
        <f t="shared" si="21"/>
        <v>753.4469973398127</v>
      </c>
      <c r="AE51" s="19">
        <f t="shared" si="21"/>
        <v>757.77017332443756</v>
      </c>
      <c r="AF51" s="19">
        <f t="shared" si="21"/>
        <v>761.0250751560626</v>
      </c>
      <c r="AG51" s="19">
        <f t="shared" si="21"/>
        <v>767.61579036337503</v>
      </c>
      <c r="AH51" s="19">
        <f t="shared" si="21"/>
        <v>776.82413247737509</v>
      </c>
    </row>
    <row r="52" spans="1:34" s="20" customFormat="1" ht="15">
      <c r="A52" s="27" t="s">
        <v>329</v>
      </c>
      <c r="B52" s="39"/>
      <c r="C52" s="334">
        <f>SUM(C40:C50)</f>
        <v>373.25120000000004</v>
      </c>
      <c r="D52" s="334">
        <f t="shared" ref="D52:I52" si="22">SUM(D42:D50)</f>
        <v>364.68119999999999</v>
      </c>
      <c r="E52" s="334">
        <f t="shared" si="22"/>
        <v>841.09221083735224</v>
      </c>
      <c r="F52" s="334">
        <f t="shared" si="22"/>
        <v>870.66642186561569</v>
      </c>
      <c r="G52" s="334">
        <f t="shared" si="22"/>
        <v>1033.2459826513566</v>
      </c>
      <c r="H52" s="19">
        <f t="shared" si="22"/>
        <v>1056.9588354132929</v>
      </c>
      <c r="I52" s="19">
        <f t="shared" si="22"/>
        <v>1082.3930463056786</v>
      </c>
      <c r="J52" s="19">
        <f t="shared" ref="J52:AH52" si="23">SUM(J42:J50)</f>
        <v>1093.2487359035892</v>
      </c>
      <c r="K52" s="19">
        <f t="shared" si="23"/>
        <v>1129.7158478371241</v>
      </c>
      <c r="L52" s="19">
        <f t="shared" si="23"/>
        <v>1129.735056082749</v>
      </c>
      <c r="M52" s="19">
        <f t="shared" si="23"/>
        <v>1129.6615029413115</v>
      </c>
      <c r="N52" s="190">
        <f t="shared" si="23"/>
        <v>1129.9333412432422</v>
      </c>
      <c r="O52" s="19">
        <f t="shared" si="23"/>
        <v>1134.8273043164545</v>
      </c>
      <c r="P52" s="19">
        <f t="shared" si="23"/>
        <v>1134.9376919546421</v>
      </c>
      <c r="Q52" s="19">
        <f t="shared" si="23"/>
        <v>1151.9427527867499</v>
      </c>
      <c r="R52" s="19">
        <f t="shared" si="23"/>
        <v>1152.4080254259998</v>
      </c>
      <c r="S52" s="19">
        <f t="shared" si="23"/>
        <v>1153.1208518620622</v>
      </c>
      <c r="T52" s="19">
        <f t="shared" si="23"/>
        <v>1154.1708887848124</v>
      </c>
      <c r="U52" s="19">
        <f t="shared" si="23"/>
        <v>1155.3216567278121</v>
      </c>
      <c r="V52" s="19">
        <f t="shared" si="23"/>
        <v>1159.1640676872546</v>
      </c>
      <c r="W52" s="19">
        <f t="shared" si="23"/>
        <v>1160.348707367692</v>
      </c>
      <c r="X52" s="182">
        <f t="shared" si="23"/>
        <v>1163.515416397546</v>
      </c>
      <c r="Y52" s="19">
        <f t="shared" si="23"/>
        <v>1169.8399217608955</v>
      </c>
      <c r="Z52" s="19">
        <f t="shared" si="23"/>
        <v>1175.4691810699999</v>
      </c>
      <c r="AA52" s="19">
        <f t="shared" si="23"/>
        <v>1177.5296921194376</v>
      </c>
      <c r="AB52" s="19">
        <f t="shared" si="23"/>
        <v>1187.1073064746538</v>
      </c>
      <c r="AC52" s="19">
        <f t="shared" si="23"/>
        <v>1194.9325209335384</v>
      </c>
      <c r="AD52" s="19">
        <f t="shared" si="23"/>
        <v>1198.6433074304437</v>
      </c>
      <c r="AE52" s="19">
        <f t="shared" si="23"/>
        <v>1202.9664834150685</v>
      </c>
      <c r="AF52" s="19">
        <f t="shared" si="23"/>
        <v>1206.2213852466934</v>
      </c>
      <c r="AG52" s="19">
        <f t="shared" si="23"/>
        <v>1212.812100454006</v>
      </c>
      <c r="AH52" s="19">
        <f t="shared" si="23"/>
        <v>1222.020442568006</v>
      </c>
    </row>
    <row r="53" spans="1:34" s="20" customFormat="1" ht="15">
      <c r="A53" s="27" t="s">
        <v>330</v>
      </c>
      <c r="B53" s="39"/>
      <c r="C53" s="334">
        <f>C20*Inputs!$C$60</f>
        <v>7488.8</v>
      </c>
      <c r="D53" s="334">
        <f>D20*Inputs!$C$60</f>
        <v>8596.2800000000007</v>
      </c>
      <c r="E53" s="334">
        <f>E20*Inputs!$C$60</f>
        <v>8885.6864868156445</v>
      </c>
      <c r="F53" s="334">
        <f>F20*Inputs!$C$60</f>
        <v>7517.2813127367708</v>
      </c>
      <c r="G53" s="334">
        <f>G20*Inputs!$C$60</f>
        <v>8656.8953431116715</v>
      </c>
      <c r="H53" s="19">
        <f>H20*Inputs!$C$60</f>
        <v>8651.8749663274339</v>
      </c>
      <c r="I53" s="19">
        <f>I20*Inputs!$C$60</f>
        <v>8457.9499354744057</v>
      </c>
      <c r="J53" s="19">
        <f>J20*Inputs!$C$60</f>
        <v>8378.8871736784768</v>
      </c>
      <c r="K53" s="19">
        <f>K20*Inputs!$C$60</f>
        <v>8517.1795749059584</v>
      </c>
      <c r="L53" s="19">
        <f>L20*Inputs!$C$60</f>
        <v>8619.063844311102</v>
      </c>
      <c r="M53" s="19">
        <f>M20*Inputs!$C$60</f>
        <v>8694.6783491929618</v>
      </c>
      <c r="N53" s="190">
        <f>N20*Inputs!$C$60</f>
        <v>8731.9071826868294</v>
      </c>
      <c r="O53" s="19">
        <f>O20*Inputs!$C$60</f>
        <v>8795.4345679012986</v>
      </c>
      <c r="P53" s="19">
        <f>P20*Inputs!$C$60</f>
        <v>8825.3511486513362</v>
      </c>
      <c r="Q53" s="19">
        <f>Q20*Inputs!$C$60</f>
        <v>8819.9336342025836</v>
      </c>
      <c r="R53" s="19">
        <f>R20*Inputs!$C$60</f>
        <v>8858.3140888630169</v>
      </c>
      <c r="S53" s="19">
        <f>S20*Inputs!$C$60</f>
        <v>8876.8125857350587</v>
      </c>
      <c r="T53" s="19">
        <f>T20*Inputs!$C$60</f>
        <v>8873.7145349766542</v>
      </c>
      <c r="U53" s="19">
        <f>U20*Inputs!$C$60</f>
        <v>8879.3301708376002</v>
      </c>
      <c r="V53" s="19">
        <f>V20*Inputs!$C$60</f>
        <v>8877.2756559817772</v>
      </c>
      <c r="W53" s="19">
        <f>W20*Inputs!$C$60</f>
        <v>8874.2036127045412</v>
      </c>
      <c r="X53" s="182">
        <f>X20*Inputs!$C$60</f>
        <v>8833.8738345012152</v>
      </c>
      <c r="Y53" s="19">
        <f>Y20*Inputs!$C$60</f>
        <v>8805.0161732883025</v>
      </c>
      <c r="Z53" s="19">
        <f>Z20*Inputs!$C$60</f>
        <v>8789.8452060696436</v>
      </c>
      <c r="AA53" s="19">
        <f>AA20*Inputs!$C$60</f>
        <v>8782.0400868067463</v>
      </c>
      <c r="AB53" s="19">
        <f>AB20*Inputs!$C$60</f>
        <v>8777.6713440272815</v>
      </c>
      <c r="AC53" s="19">
        <f>AC20*Inputs!$C$60</f>
        <v>8772.0449510456474</v>
      </c>
      <c r="AD53" s="19">
        <f>AD20*Inputs!$C$60</f>
        <v>8767.6259449057961</v>
      </c>
      <c r="AE53" s="19">
        <f>AE20*Inputs!$C$60</f>
        <v>8758.9731074151568</v>
      </c>
      <c r="AF53" s="19">
        <f>AF20*Inputs!$C$60</f>
        <v>8750.869073471169</v>
      </c>
      <c r="AG53" s="19">
        <f>AG20*Inputs!$C$60</f>
        <v>8745.6441590806262</v>
      </c>
      <c r="AH53" s="19">
        <f>AH20*Inputs!$C$60</f>
        <v>8739.7873923638817</v>
      </c>
    </row>
    <row r="54" spans="1:34" s="20" customFormat="1" ht="15">
      <c r="A54" s="27" t="s">
        <v>222</v>
      </c>
      <c r="B54" s="39"/>
      <c r="C54" s="334">
        <f>C21*Inputs!$C$61</f>
        <v>11.99</v>
      </c>
      <c r="D54" s="334">
        <f>D21*Inputs!$C$61</f>
        <v>15.4</v>
      </c>
      <c r="E54" s="334">
        <f>E21*Inputs!$C$61</f>
        <v>53.073916699548725</v>
      </c>
      <c r="F54" s="334">
        <f>F21*Inputs!$C$61</f>
        <v>75.581710332112038</v>
      </c>
      <c r="G54" s="334">
        <f>G21*Inputs!$C$61</f>
        <v>61.387770801309351</v>
      </c>
      <c r="H54" s="19">
        <f>H21*Inputs!$C$61</f>
        <v>59.023767254291734</v>
      </c>
      <c r="I54" s="19">
        <f>I21*Inputs!$C$61</f>
        <v>65.26460356768564</v>
      </c>
      <c r="J54" s="19">
        <f>J21*Inputs!$C$61</f>
        <v>74.914808673875356</v>
      </c>
      <c r="K54" s="19">
        <f>K21*Inputs!$C$61</f>
        <v>76.988100587410457</v>
      </c>
      <c r="L54" s="19">
        <f>L21*Inputs!$C$61</f>
        <v>78.841361365767838</v>
      </c>
      <c r="M54" s="19">
        <f>M21*Inputs!$C$61</f>
        <v>80.081038642165652</v>
      </c>
      <c r="N54" s="190">
        <f>N21*Inputs!$C$61</f>
        <v>80.757987231130954</v>
      </c>
      <c r="O54" s="19">
        <f>O21*Inputs!$C$61</f>
        <v>79.227558310871032</v>
      </c>
      <c r="P54" s="19">
        <f>P21*Inputs!$C$61</f>
        <v>80.333088353966929</v>
      </c>
      <c r="Q54" s="19">
        <f>Q21*Inputs!$C$61</f>
        <v>83.525448957968749</v>
      </c>
      <c r="R54" s="19">
        <f>R21*Inputs!$C$61</f>
        <v>83.140101963091908</v>
      </c>
      <c r="S54" s="19">
        <f>S21*Inputs!$C$61</f>
        <v>83.178955826459102</v>
      </c>
      <c r="T54" s="19">
        <f>T21*Inputs!$C$61</f>
        <v>87.763040178228181</v>
      </c>
      <c r="U54" s="19">
        <f>U21*Inputs!$C$61</f>
        <v>89.314422101745365</v>
      </c>
      <c r="V54" s="19">
        <f>V21*Inputs!$C$61</f>
        <v>88.755547387094779</v>
      </c>
      <c r="W54" s="19">
        <f>W21*Inputs!$C$61</f>
        <v>89.956394049399989</v>
      </c>
      <c r="X54" s="182">
        <f>X21*Inputs!$C$61</f>
        <v>89.183049101656678</v>
      </c>
      <c r="Y54" s="19">
        <f>Y21*Inputs!$C$61</f>
        <v>94.259810454330392</v>
      </c>
      <c r="Z54" s="19">
        <f>Z21*Inputs!$C$61</f>
        <v>98.856331545988624</v>
      </c>
      <c r="AA54" s="19">
        <f>AA21*Inputs!$C$61</f>
        <v>103.93821206452922</v>
      </c>
      <c r="AB54" s="19">
        <f>AB21*Inputs!$C$61</f>
        <v>107.8175692695866</v>
      </c>
      <c r="AC54" s="19">
        <f>AC21*Inputs!$C$61</f>
        <v>110.78870329314964</v>
      </c>
      <c r="AD54" s="19">
        <f>AD21*Inputs!$C$61</f>
        <v>114.19952327322748</v>
      </c>
      <c r="AE54" s="19">
        <f>AE21*Inputs!$C$61</f>
        <v>116.81029083649139</v>
      </c>
      <c r="AF54" s="19">
        <f>AF21*Inputs!$C$61</f>
        <v>118.61783326797438</v>
      </c>
      <c r="AG54" s="19">
        <f>AG21*Inputs!$C$61</f>
        <v>118.76368299663149</v>
      </c>
      <c r="AH54" s="19">
        <f>AH21*Inputs!$C$61</f>
        <v>119.75460276665298</v>
      </c>
    </row>
    <row r="55" spans="1:34" s="20" customFormat="1" ht="15">
      <c r="A55" s="27" t="s">
        <v>58</v>
      </c>
      <c r="B55" s="39"/>
      <c r="C55" s="334">
        <f>SUM(C52:C54)</f>
        <v>7874.0411999999997</v>
      </c>
      <c r="D55" s="334">
        <f t="shared" ref="D55:AH55" si="24">SUM(D52:D54)</f>
        <v>8976.3612000000012</v>
      </c>
      <c r="E55" s="334">
        <f t="shared" si="24"/>
        <v>9779.8526143525451</v>
      </c>
      <c r="F55" s="334">
        <f t="shared" si="24"/>
        <v>8463.5294449344983</v>
      </c>
      <c r="G55" s="334">
        <f t="shared" si="24"/>
        <v>9751.529096564338</v>
      </c>
      <c r="H55" s="19">
        <f t="shared" si="24"/>
        <v>9767.8575689950176</v>
      </c>
      <c r="I55" s="19">
        <f t="shared" si="24"/>
        <v>9605.6075853477705</v>
      </c>
      <c r="J55" s="19">
        <f t="shared" si="24"/>
        <v>9547.0507182559413</v>
      </c>
      <c r="K55" s="19">
        <f t="shared" si="24"/>
        <v>9723.8835233304926</v>
      </c>
      <c r="L55" s="19">
        <f t="shared" si="24"/>
        <v>9827.6402617596195</v>
      </c>
      <c r="M55" s="19">
        <f t="shared" si="24"/>
        <v>9904.4208907764387</v>
      </c>
      <c r="N55" s="190">
        <f t="shared" si="24"/>
        <v>9942.5985111612026</v>
      </c>
      <c r="O55" s="19">
        <f t="shared" si="24"/>
        <v>10009.489430528625</v>
      </c>
      <c r="P55" s="19">
        <f t="shared" si="24"/>
        <v>10040.621928959947</v>
      </c>
      <c r="Q55" s="19">
        <f t="shared" si="24"/>
        <v>10055.401835947303</v>
      </c>
      <c r="R55" s="19">
        <f t="shared" si="24"/>
        <v>10093.862216252108</v>
      </c>
      <c r="S55" s="19">
        <f t="shared" si="24"/>
        <v>10113.11239342358</v>
      </c>
      <c r="T55" s="19">
        <f t="shared" si="24"/>
        <v>10115.648463939695</v>
      </c>
      <c r="U55" s="19">
        <f t="shared" si="24"/>
        <v>10123.966249667157</v>
      </c>
      <c r="V55" s="19">
        <f t="shared" si="24"/>
        <v>10125.195271056125</v>
      </c>
      <c r="W55" s="19">
        <f t="shared" si="24"/>
        <v>10124.508714121634</v>
      </c>
      <c r="X55" s="182">
        <f t="shared" si="24"/>
        <v>10086.572300000418</v>
      </c>
      <c r="Y55" s="19">
        <f t="shared" si="24"/>
        <v>10069.115905503528</v>
      </c>
      <c r="Z55" s="19">
        <f t="shared" si="24"/>
        <v>10064.170718685633</v>
      </c>
      <c r="AA55" s="19">
        <f t="shared" si="24"/>
        <v>10063.507990990713</v>
      </c>
      <c r="AB55" s="19">
        <f t="shared" si="24"/>
        <v>10072.596219771522</v>
      </c>
      <c r="AC55" s="19">
        <f t="shared" si="24"/>
        <v>10077.766175272336</v>
      </c>
      <c r="AD55" s="19">
        <f t="shared" si="24"/>
        <v>10080.468775609468</v>
      </c>
      <c r="AE55" s="19">
        <f t="shared" si="24"/>
        <v>10078.749881666716</v>
      </c>
      <c r="AF55" s="19">
        <f t="shared" si="24"/>
        <v>10075.708291985837</v>
      </c>
      <c r="AG55" s="19">
        <f t="shared" si="24"/>
        <v>10077.219942531265</v>
      </c>
      <c r="AH55" s="19">
        <f t="shared" si="24"/>
        <v>10081.56243769854</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377</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222.20864999999998</v>
      </c>
      <c r="D60" s="331">
        <f>D42*Inputs!$H48</f>
        <v>184.54364999999999</v>
      </c>
      <c r="E60" s="331">
        <f>E42*Inputs!$H48</f>
        <v>277.29461234433569</v>
      </c>
      <c r="F60" s="331">
        <f>F42*Inputs!$H48</f>
        <v>217.55219565154783</v>
      </c>
      <c r="G60" s="331">
        <f>G42*Inputs!$H48</f>
        <v>279.31646660538956</v>
      </c>
      <c r="H60" s="14">
        <f>H42*Inputs!$H48</f>
        <v>299.09688244355721</v>
      </c>
      <c r="I60" s="14">
        <f>I42*Inputs!$H48</f>
        <v>317.46754534977305</v>
      </c>
      <c r="J60" s="14">
        <f>J42*Inputs!$H48</f>
        <v>323.08594665459901</v>
      </c>
      <c r="K60" s="14">
        <f>K42*Inputs!$H48</f>
        <v>355.8837644807615</v>
      </c>
      <c r="L60" s="14">
        <f>L42*Inputs!$H48</f>
        <v>355.8837644807615</v>
      </c>
      <c r="M60" s="14">
        <f>M42*Inputs!$H48</f>
        <v>355.8837644807615</v>
      </c>
      <c r="N60" s="190">
        <f>N42*Inputs!$H48</f>
        <v>355.88373624730548</v>
      </c>
      <c r="O60" s="14">
        <f>O42*Inputs!$H48</f>
        <v>360.20610898150903</v>
      </c>
      <c r="P60" s="14">
        <f>P42*Inputs!$H48</f>
        <v>360.20610898150903</v>
      </c>
      <c r="Q60" s="14">
        <f>Q42*Inputs!$H48</f>
        <v>375.34627160279973</v>
      </c>
      <c r="R60" s="14">
        <f>R42*Inputs!$H48</f>
        <v>375.34627160279973</v>
      </c>
      <c r="S60" s="14">
        <f>S42*Inputs!$H48</f>
        <v>375.34627160279973</v>
      </c>
      <c r="T60" s="14">
        <f>T42*Inputs!$H48</f>
        <v>375.34627160279973</v>
      </c>
      <c r="U60" s="14">
        <f>U42*Inputs!$H48</f>
        <v>375.34627160279973</v>
      </c>
      <c r="V60" s="14">
        <f>V42*Inputs!$H48</f>
        <v>377.77321949254156</v>
      </c>
      <c r="W60" s="14">
        <f>W42*Inputs!$H48</f>
        <v>377.77321949254156</v>
      </c>
      <c r="X60" s="187">
        <f>X42*Inputs!$H48</f>
        <v>379.35262726243513</v>
      </c>
      <c r="Y60" s="14">
        <f>Y42*Inputs!$H48</f>
        <v>384.02633712483726</v>
      </c>
      <c r="Z60" s="14">
        <f>Z42*Inputs!$H48</f>
        <v>388.11027832194355</v>
      </c>
      <c r="AA60" s="14">
        <f>AA42*Inputs!$H48</f>
        <v>388.11027832194355</v>
      </c>
      <c r="AB60" s="14">
        <f>AB42*Inputs!$H48</f>
        <v>393.69036682678842</v>
      </c>
      <c r="AC60" s="14">
        <f>AC42*Inputs!$H48</f>
        <v>398.64954516421579</v>
      </c>
      <c r="AD60" s="14">
        <f>AD42*Inputs!$H48</f>
        <v>400.67667908156784</v>
      </c>
      <c r="AE60" s="14">
        <f>AE42*Inputs!$H48</f>
        <v>400.67667908156784</v>
      </c>
      <c r="AF60" s="14">
        <f>AF42*Inputs!$H48</f>
        <v>400.67667908156784</v>
      </c>
      <c r="AG60" s="14">
        <f>AG42*Inputs!$H48</f>
        <v>400.67667908156784</v>
      </c>
      <c r="AH60" s="14">
        <f>AH42*Inputs!$H48</f>
        <v>400.67667908156784</v>
      </c>
    </row>
    <row r="61" spans="1:34" ht="15">
      <c r="A61" s="8" t="s">
        <v>59</v>
      </c>
      <c r="B61" s="34">
        <v>0</v>
      </c>
      <c r="C61" s="331">
        <f>C43*Inputs!$H53</f>
        <v>0</v>
      </c>
      <c r="D61" s="331">
        <f>D43*Inputs!$H53</f>
        <v>0</v>
      </c>
      <c r="E61" s="331">
        <f>E43*Inputs!$H53</f>
        <v>0</v>
      </c>
      <c r="F61" s="331">
        <f>F43*Inputs!$H53</f>
        <v>0</v>
      </c>
      <c r="G61" s="331">
        <f>G43*Inputs!$H53</f>
        <v>0</v>
      </c>
      <c r="H61" s="14">
        <f>H43*Inputs!$H53</f>
        <v>0</v>
      </c>
      <c r="I61" s="14">
        <f>I43*Inputs!$H53</f>
        <v>0</v>
      </c>
      <c r="J61" s="14">
        <f>J43*Inputs!$H53</f>
        <v>0</v>
      </c>
      <c r="K61" s="14">
        <f>K43*Inputs!$H53</f>
        <v>0</v>
      </c>
      <c r="L61" s="14">
        <f>L43*Inputs!$H53</f>
        <v>0</v>
      </c>
      <c r="M61" s="14">
        <f>M43*Inputs!$H53</f>
        <v>0</v>
      </c>
      <c r="N61" s="190">
        <f>N43*Inputs!$H53</f>
        <v>0</v>
      </c>
      <c r="O61" s="14">
        <f>O43*Inputs!$H53</f>
        <v>0</v>
      </c>
      <c r="P61" s="14">
        <f>P43*Inputs!$H53</f>
        <v>0</v>
      </c>
      <c r="Q61" s="14">
        <f>Q43*Inputs!$H53</f>
        <v>0</v>
      </c>
      <c r="R61" s="14">
        <f>R43*Inputs!$H53</f>
        <v>0</v>
      </c>
      <c r="S61" s="14">
        <f>S43*Inputs!$H53</f>
        <v>0</v>
      </c>
      <c r="T61" s="14">
        <f>T43*Inputs!$H53</f>
        <v>0</v>
      </c>
      <c r="U61" s="14">
        <f>U43*Inputs!$H53</f>
        <v>0</v>
      </c>
      <c r="V61" s="14">
        <f>V43*Inputs!$H53</f>
        <v>0</v>
      </c>
      <c r="W61" s="14">
        <f>W43*Inputs!$H53</f>
        <v>0</v>
      </c>
      <c r="X61" s="187">
        <f>X43*Inputs!$H53</f>
        <v>0</v>
      </c>
      <c r="Y61" s="14">
        <f>Y43*Inputs!$H53</f>
        <v>0</v>
      </c>
      <c r="Z61" s="14">
        <f>Z43*Inputs!$H53</f>
        <v>0</v>
      </c>
      <c r="AA61" s="14">
        <f>AA43*Inputs!$H53</f>
        <v>0</v>
      </c>
      <c r="AB61" s="14">
        <f>AB43*Inputs!$H53</f>
        <v>0</v>
      </c>
      <c r="AC61" s="14">
        <f>AC43*Inputs!$H53</f>
        <v>0</v>
      </c>
      <c r="AD61" s="14">
        <f>AD43*Inputs!$H53</f>
        <v>0</v>
      </c>
      <c r="AE61" s="14">
        <f>AE43*Inputs!$H53</f>
        <v>0</v>
      </c>
      <c r="AF61" s="14">
        <f>AF43*Inputs!$H53</f>
        <v>0</v>
      </c>
      <c r="AG61" s="14">
        <f>AG43*Inputs!$H53</f>
        <v>0</v>
      </c>
      <c r="AH61" s="14">
        <f>AH43*Inputs!$H53</f>
        <v>0</v>
      </c>
    </row>
    <row r="62" spans="1:34" ht="15">
      <c r="A62" s="8" t="s">
        <v>121</v>
      </c>
      <c r="B62" s="34">
        <v>1</v>
      </c>
      <c r="C62" s="331">
        <f>C44*Inputs!$H46</f>
        <v>0.189</v>
      </c>
      <c r="D62" s="331">
        <f>D44*Inputs!$H46</f>
        <v>0</v>
      </c>
      <c r="E62" s="331">
        <f>E44*Inputs!$H46</f>
        <v>4.1316847031249999E-2</v>
      </c>
      <c r="F62" s="331">
        <f>F44*Inputs!$H46</f>
        <v>3.9789608906250003E-2</v>
      </c>
      <c r="G62" s="331">
        <f>G44*Inputs!$H46</f>
        <v>4.3291660781250012E-2</v>
      </c>
      <c r="H62" s="14">
        <f>H44*Inputs!$H46</f>
        <v>4.9165662656250005E-2</v>
      </c>
      <c r="I62" s="14">
        <f>I44*Inputs!$H46</f>
        <v>5.8061449687499989E-2</v>
      </c>
      <c r="J62" s="14">
        <f>J44*Inputs!$H46</f>
        <v>8.180206453125001E-2</v>
      </c>
      <c r="K62" s="14">
        <f>K44*Inputs!$H46</f>
        <v>0.15300046125</v>
      </c>
      <c r="L62" s="14">
        <f>L44*Inputs!$H46</f>
        <v>0.2540172403125</v>
      </c>
      <c r="M62" s="14">
        <f>M44*Inputs!$H46</f>
        <v>0.25552230046874996</v>
      </c>
      <c r="N62" s="190">
        <f>N44*Inputs!$H46</f>
        <v>0.27774406406250007</v>
      </c>
      <c r="O62" s="14">
        <f>O44*Inputs!$H46</f>
        <v>0.29089746</v>
      </c>
      <c r="P62" s="14">
        <f>P44*Inputs!$H46</f>
        <v>0.31305838921875001</v>
      </c>
      <c r="Q62" s="14">
        <f>Q44*Inputs!$H46</f>
        <v>0.38496264187500001</v>
      </c>
      <c r="R62" s="14">
        <f>R44*Inputs!$H46</f>
        <v>0.38879804249999994</v>
      </c>
      <c r="S62" s="14">
        <f>S44*Inputs!$H46</f>
        <v>0.43000845890625006</v>
      </c>
      <c r="T62" s="14">
        <f>T44*Inputs!$H46</f>
        <v>0.43780246453124999</v>
      </c>
      <c r="U62" s="14">
        <f>U44*Inputs!$H46</f>
        <v>0.43860217078125008</v>
      </c>
      <c r="V62" s="14">
        <f>V44*Inputs!$H46</f>
        <v>0.44874098718749994</v>
      </c>
      <c r="W62" s="14">
        <f>W44*Inputs!$H46</f>
        <v>0.45619618078125002</v>
      </c>
      <c r="X62" s="187">
        <f>X44*Inputs!$H46</f>
        <v>0.51319373765624998</v>
      </c>
      <c r="Y62" s="14">
        <f>Y44*Inputs!$H46</f>
        <v>0.54966252796875004</v>
      </c>
      <c r="Z62" s="14">
        <f>Z44*Inputs!$H46</f>
        <v>0.56245682390625007</v>
      </c>
      <c r="AA62" s="14">
        <f>AA44*Inputs!$H46</f>
        <v>0.56481492374999998</v>
      </c>
      <c r="AB62" s="14">
        <f>AB44*Inputs!$H46</f>
        <v>0.56636141625000003</v>
      </c>
      <c r="AC62" s="14">
        <f>AC44*Inputs!$H46</f>
        <v>0.56670536671874994</v>
      </c>
      <c r="AD62" s="14">
        <f>AD44*Inputs!$H46</f>
        <v>0.56432166328124989</v>
      </c>
      <c r="AE62" s="14">
        <f>AE44*Inputs!$H46</f>
        <v>0.56764221609374987</v>
      </c>
      <c r="AF62" s="14">
        <f>AF44*Inputs!$H46</f>
        <v>0.57096796640625003</v>
      </c>
      <c r="AG62" s="14">
        <f>AG44*Inputs!$H46</f>
        <v>0.57057298593749994</v>
      </c>
      <c r="AH62" s="14">
        <f>AH44*Inputs!$H46</f>
        <v>0.57202237968750003</v>
      </c>
    </row>
    <row r="63" spans="1:34" ht="15">
      <c r="A63" s="8" t="s">
        <v>50</v>
      </c>
      <c r="B63" s="34">
        <v>1</v>
      </c>
      <c r="C63" s="331">
        <f>C45*Inputs!$H49</f>
        <v>0</v>
      </c>
      <c r="D63" s="331">
        <f>D45*Inputs!$H49</f>
        <v>0</v>
      </c>
      <c r="E63" s="331">
        <f>E45*Inputs!$H49</f>
        <v>2.2500000000000003E-8</v>
      </c>
      <c r="F63" s="331">
        <f>F45*Inputs!$H49</f>
        <v>2.2500000000000003E-8</v>
      </c>
      <c r="G63" s="331">
        <f>G45*Inputs!$H49</f>
        <v>2.2500000000000003E-8</v>
      </c>
      <c r="H63" s="14">
        <f>H45*Inputs!$H49</f>
        <v>2.2500000000000003E-8</v>
      </c>
      <c r="I63" s="14">
        <f>I45*Inputs!$H49</f>
        <v>2.2500000000000003E-8</v>
      </c>
      <c r="J63" s="14">
        <f>J45*Inputs!$H49</f>
        <v>2.2500000000000003E-8</v>
      </c>
      <c r="K63" s="14">
        <f>K45*Inputs!$H49</f>
        <v>2.2500000000000003E-8</v>
      </c>
      <c r="L63" s="14">
        <f>L45*Inputs!$H49</f>
        <v>2.2500000000000003E-8</v>
      </c>
      <c r="M63" s="14">
        <f>M45*Inputs!$H49</f>
        <v>2.2500000000000003E-8</v>
      </c>
      <c r="N63" s="190">
        <f>N45*Inputs!$H49</f>
        <v>2.2500000000000003E-8</v>
      </c>
      <c r="O63" s="14">
        <f>O45*Inputs!$H49</f>
        <v>2.2500000000000003E-8</v>
      </c>
      <c r="P63" s="14">
        <f>P45*Inputs!$H49</f>
        <v>2.2500000000000003E-8</v>
      </c>
      <c r="Q63" s="14">
        <f>Q45*Inputs!$H49</f>
        <v>2.2500000000000003E-8</v>
      </c>
      <c r="R63" s="14">
        <f>R45*Inputs!$H49</f>
        <v>2.2500000000000003E-8</v>
      </c>
      <c r="S63" s="14">
        <f>S45*Inputs!$H49</f>
        <v>2.2500000000000003E-8</v>
      </c>
      <c r="T63" s="14">
        <f>T45*Inputs!$H49</f>
        <v>2.2500000000000003E-8</v>
      </c>
      <c r="U63" s="14">
        <f>U45*Inputs!$H49</f>
        <v>2.2500000000000003E-8</v>
      </c>
      <c r="V63" s="14">
        <f>V45*Inputs!$H49</f>
        <v>2.2500000000000003E-8</v>
      </c>
      <c r="W63" s="14">
        <f>W45*Inputs!$H49</f>
        <v>2.2500000000000003E-8</v>
      </c>
      <c r="X63" s="187">
        <f>X45*Inputs!$H49</f>
        <v>2.2500000000000003E-8</v>
      </c>
      <c r="Y63" s="14">
        <f>Y45*Inputs!$H49</f>
        <v>2.2500000000000003E-8</v>
      </c>
      <c r="Z63" s="14">
        <f>Z45*Inputs!$H49</f>
        <v>2.2500000000000003E-8</v>
      </c>
      <c r="AA63" s="14">
        <f>AA45*Inputs!$H49</f>
        <v>2.2500000000000003E-8</v>
      </c>
      <c r="AB63" s="14">
        <f>AB45*Inputs!$H49</f>
        <v>2.2500000000000003E-8</v>
      </c>
      <c r="AC63" s="14">
        <f>AC45*Inputs!$H49</f>
        <v>2.2500000000000003E-8</v>
      </c>
      <c r="AD63" s="14">
        <f>AD45*Inputs!$H49</f>
        <v>2.2500000000000003E-8</v>
      </c>
      <c r="AE63" s="14">
        <f>AE45*Inputs!$H49</f>
        <v>2.2500000000000003E-8</v>
      </c>
      <c r="AF63" s="14">
        <f>AF45*Inputs!$H49</f>
        <v>2.2500000000000003E-8</v>
      </c>
      <c r="AG63" s="14">
        <f>AG45*Inputs!$H49</f>
        <v>2.2500000000000003E-8</v>
      </c>
      <c r="AH63" s="14">
        <f>AH45*Inputs!$H49</f>
        <v>2.2500000000000003E-8</v>
      </c>
    </row>
    <row r="64" spans="1:34" ht="15">
      <c r="A64" s="8" t="s">
        <v>51</v>
      </c>
      <c r="B64" s="34">
        <v>1</v>
      </c>
      <c r="C64" s="331">
        <f>C46*Inputs!$H52</f>
        <v>0</v>
      </c>
      <c r="D64" s="331">
        <f>D46*Inputs!$H52</f>
        <v>0</v>
      </c>
      <c r="E64" s="331">
        <f>E46*Inputs!$H52</f>
        <v>5.9677897500000007E-3</v>
      </c>
      <c r="F64" s="331">
        <f>F46*Inputs!$H52</f>
        <v>6.5783961000000007E-3</v>
      </c>
      <c r="G64" s="331">
        <f>G46*Inputs!$H52</f>
        <v>8.020097549999999E-3</v>
      </c>
      <c r="H64" s="14">
        <f>H46*Inputs!$H52</f>
        <v>8.0527432499999992E-3</v>
      </c>
      <c r="I64" s="14">
        <f>I46*Inputs!$H52</f>
        <v>8.0023531500000005E-3</v>
      </c>
      <c r="J64" s="14">
        <f>J46*Inputs!$H52</f>
        <v>8.0028215999999996E-3</v>
      </c>
      <c r="K64" s="14">
        <f>K46*Inputs!$H52</f>
        <v>8.0030889000000018E-3</v>
      </c>
      <c r="L64" s="14">
        <f>L46*Inputs!$H52</f>
        <v>8.0029809000000014E-3</v>
      </c>
      <c r="M64" s="14">
        <f>M46*Inputs!$H52</f>
        <v>8.0025934499999996E-3</v>
      </c>
      <c r="N64" s="190">
        <f>N46*Inputs!$H52</f>
        <v>8.0015350500000013E-3</v>
      </c>
      <c r="O64" s="14">
        <f>O46*Inputs!$H52</f>
        <v>8.0009208000000002E-3</v>
      </c>
      <c r="P64" s="14">
        <f>P46*Inputs!$H52</f>
        <v>8.0003659499999994E-3</v>
      </c>
      <c r="Q64" s="14">
        <f>Q46*Inputs!$H52</f>
        <v>7.9997409000000016E-3</v>
      </c>
      <c r="R64" s="14">
        <f>R46*Inputs!$H52</f>
        <v>8.0884656000000006E-3</v>
      </c>
      <c r="S64" s="14">
        <f>S46*Inputs!$H52</f>
        <v>8.0880916500000021E-3</v>
      </c>
      <c r="T64" s="14">
        <f>T46*Inputs!$H52</f>
        <v>8.0875665000000006E-3</v>
      </c>
      <c r="U64" s="14">
        <f>U46*Inputs!$H52</f>
        <v>8.0870089499999985E-3</v>
      </c>
      <c r="V64" s="14">
        <f>V46*Inputs!$H52</f>
        <v>8.0864163000000013E-3</v>
      </c>
      <c r="W64" s="14">
        <f>W46*Inputs!$H52</f>
        <v>8.0851851000000013E-3</v>
      </c>
      <c r="X64" s="187">
        <f>X46*Inputs!$H52</f>
        <v>8.0837352000000008E-3</v>
      </c>
      <c r="Y64" s="14">
        <f>Y46*Inputs!$H52</f>
        <v>8.0824095000000002E-3</v>
      </c>
      <c r="Z64" s="14">
        <f>Z46*Inputs!$H52</f>
        <v>8.0810446500000008E-3</v>
      </c>
      <c r="AA64" s="14">
        <f>AA46*Inputs!$H52</f>
        <v>8.0796393000000018E-3</v>
      </c>
      <c r="AB64" s="14">
        <f>AB46*Inputs!$H52</f>
        <v>8.2530616500000008E-3</v>
      </c>
      <c r="AC64" s="14">
        <f>AC46*Inputs!$H52</f>
        <v>8.2522867500000006E-3</v>
      </c>
      <c r="AD64" s="14">
        <f>AD46*Inputs!$H52</f>
        <v>8.251420050000003E-3</v>
      </c>
      <c r="AE64" s="14">
        <f>AE46*Inputs!$H52</f>
        <v>8.2505034000000012E-3</v>
      </c>
      <c r="AF64" s="14">
        <f>AF46*Inputs!$H52</f>
        <v>8.2496515499999989E-3</v>
      </c>
      <c r="AG64" s="14">
        <f>AG46*Inputs!$H52</f>
        <v>8.2488186000000008E-3</v>
      </c>
      <c r="AH64" s="14">
        <f>AH46*Inputs!$H52</f>
        <v>8.2480774500000003E-3</v>
      </c>
    </row>
    <row r="65" spans="1:34" ht="15">
      <c r="A65" s="8" t="s">
        <v>347</v>
      </c>
      <c r="B65" s="34">
        <v>1</v>
      </c>
      <c r="C65" s="331">
        <f>C47*Inputs!$H54</f>
        <v>0</v>
      </c>
      <c r="D65" s="331">
        <f>D47*Inputs!$H54</f>
        <v>0</v>
      </c>
      <c r="E65" s="331">
        <f>E47*Inputs!$H54</f>
        <v>1.4220000000000002E-2</v>
      </c>
      <c r="F65" s="331">
        <f>F47*Inputs!$H54</f>
        <v>1.4220000000000002E-2</v>
      </c>
      <c r="G65" s="331">
        <f>G47*Inputs!$H54</f>
        <v>1.4220000000000002E-2</v>
      </c>
      <c r="H65" s="14">
        <f>H47*Inputs!$H54</f>
        <v>1.4220000000000002E-2</v>
      </c>
      <c r="I65" s="14">
        <f>I47*Inputs!$H54</f>
        <v>1.4220000000000002E-2</v>
      </c>
      <c r="J65" s="14">
        <f>J47*Inputs!$H54</f>
        <v>1.4220000000000002E-2</v>
      </c>
      <c r="K65" s="14">
        <f>K47*Inputs!$H54</f>
        <v>1.4220000000000002E-2</v>
      </c>
      <c r="L65" s="14">
        <f>L47*Inputs!$H54</f>
        <v>1.4220000000000002E-2</v>
      </c>
      <c r="M65" s="14">
        <f>M47*Inputs!$H54</f>
        <v>1.4220000000000002E-2</v>
      </c>
      <c r="N65" s="190">
        <f>N47*Inputs!$H54</f>
        <v>1.4220000000000002E-2</v>
      </c>
      <c r="O65" s="14">
        <f>O47*Inputs!$H54</f>
        <v>1.4220000000000002E-2</v>
      </c>
      <c r="P65" s="14">
        <f>P47*Inputs!$H54</f>
        <v>1.4220000000000002E-2</v>
      </c>
      <c r="Q65" s="14">
        <f>Q47*Inputs!$H54</f>
        <v>1.4220000000000002E-2</v>
      </c>
      <c r="R65" s="14">
        <f>R47*Inputs!$H54</f>
        <v>1.4220000000000002E-2</v>
      </c>
      <c r="S65" s="14">
        <f>S47*Inputs!$H54</f>
        <v>1.4220000000000002E-2</v>
      </c>
      <c r="T65" s="14">
        <f>T47*Inputs!$H54</f>
        <v>1.4220000000000002E-2</v>
      </c>
      <c r="U65" s="14">
        <f>U47*Inputs!$H54</f>
        <v>1.4220000000000002E-2</v>
      </c>
      <c r="V65" s="14">
        <f>V47*Inputs!$H54</f>
        <v>1.4220000000000002E-2</v>
      </c>
      <c r="W65" s="14">
        <f>W47*Inputs!$H54</f>
        <v>1.4220000000000002E-2</v>
      </c>
      <c r="X65" s="187">
        <f>X47*Inputs!$H54</f>
        <v>1.4220000000000002E-2</v>
      </c>
      <c r="Y65" s="14">
        <f>Y47*Inputs!$H54</f>
        <v>1.4220000000000002E-2</v>
      </c>
      <c r="Z65" s="14">
        <f>Z47*Inputs!$H54</f>
        <v>1.4220000000000002E-2</v>
      </c>
      <c r="AA65" s="14">
        <f>AA47*Inputs!$H54</f>
        <v>1.4220000000000002E-2</v>
      </c>
      <c r="AB65" s="14">
        <f>AB47*Inputs!$H54</f>
        <v>1.4220000000000002E-2</v>
      </c>
      <c r="AC65" s="14">
        <f>AC47*Inputs!$H54</f>
        <v>1.4220000000000002E-2</v>
      </c>
      <c r="AD65" s="14">
        <f>AD47*Inputs!$H54</f>
        <v>1.4220000000000002E-2</v>
      </c>
      <c r="AE65" s="14">
        <f>AE47*Inputs!$H54</f>
        <v>1.4220000000000002E-2</v>
      </c>
      <c r="AF65" s="14">
        <f>AF47*Inputs!$H54</f>
        <v>1.4220000000000002E-2</v>
      </c>
      <c r="AG65" s="14">
        <f>AG47*Inputs!$H54</f>
        <v>1.4220000000000002E-2</v>
      </c>
      <c r="AH65" s="14">
        <f>AH47*Inputs!$H54</f>
        <v>1.4220000000000002E-2</v>
      </c>
    </row>
    <row r="66" spans="1:34" ht="15">
      <c r="A66" s="8" t="s">
        <v>348</v>
      </c>
      <c r="B66" s="34">
        <v>1</v>
      </c>
      <c r="C66" s="331">
        <f>C48*Inputs!$H55</f>
        <v>0</v>
      </c>
      <c r="D66" s="331">
        <f>D48*Inputs!$H55</f>
        <v>0</v>
      </c>
      <c r="E66" s="331">
        <f>E48*Inputs!$H55</f>
        <v>2.0700000000000002E-3</v>
      </c>
      <c r="F66" s="331">
        <f>F48*Inputs!$H55</f>
        <v>2.0700000000000002E-3</v>
      </c>
      <c r="G66" s="331">
        <f>G48*Inputs!$H55</f>
        <v>2.0700000000000002E-3</v>
      </c>
      <c r="H66" s="14">
        <f>H48*Inputs!$H55</f>
        <v>2.0700000000000002E-3</v>
      </c>
      <c r="I66" s="14">
        <f>I48*Inputs!$H55</f>
        <v>2.0700000000000002E-3</v>
      </c>
      <c r="J66" s="14">
        <f>J48*Inputs!$H55</f>
        <v>2.0700000000000002E-3</v>
      </c>
      <c r="K66" s="14">
        <f>K48*Inputs!$H55</f>
        <v>2.0700000000000002E-3</v>
      </c>
      <c r="L66" s="14">
        <f>L48*Inputs!$H55</f>
        <v>2.0700000000000002E-3</v>
      </c>
      <c r="M66" s="14">
        <f>M48*Inputs!$H55</f>
        <v>2.0700000000000002E-3</v>
      </c>
      <c r="N66" s="190">
        <f>N48*Inputs!$H55</f>
        <v>2.0700000000000002E-3</v>
      </c>
      <c r="O66" s="14">
        <f>O48*Inputs!$H55</f>
        <v>2.0700000000000002E-3</v>
      </c>
      <c r="P66" s="14">
        <f>P48*Inputs!$H55</f>
        <v>2.0700000000000002E-3</v>
      </c>
      <c r="Q66" s="14">
        <f>Q48*Inputs!$H55</f>
        <v>2.0700000000000002E-3</v>
      </c>
      <c r="R66" s="14">
        <f>R48*Inputs!$H55</f>
        <v>2.0700000000000002E-3</v>
      </c>
      <c r="S66" s="14">
        <f>S48*Inputs!$H55</f>
        <v>2.0700000000000002E-3</v>
      </c>
      <c r="T66" s="14">
        <f>T48*Inputs!$H55</f>
        <v>2.0700000000000002E-3</v>
      </c>
      <c r="U66" s="14">
        <f>U48*Inputs!$H55</f>
        <v>2.0700000000000002E-3</v>
      </c>
      <c r="V66" s="14">
        <f>V48*Inputs!$H55</f>
        <v>2.0700000000000002E-3</v>
      </c>
      <c r="W66" s="14">
        <f>W48*Inputs!$H55</f>
        <v>2.0700000000000002E-3</v>
      </c>
      <c r="X66" s="187">
        <f>X48*Inputs!$H55</f>
        <v>2.0700000000000002E-3</v>
      </c>
      <c r="Y66" s="14">
        <f>Y48*Inputs!$H55</f>
        <v>2.0700000000000002E-3</v>
      </c>
      <c r="Z66" s="14">
        <f>Z48*Inputs!$H55</f>
        <v>2.0700000000000002E-3</v>
      </c>
      <c r="AA66" s="14">
        <f>AA48*Inputs!$H55</f>
        <v>2.0700000000000002E-3</v>
      </c>
      <c r="AB66" s="14">
        <f>AB48*Inputs!$H55</f>
        <v>2.0700000000000002E-3</v>
      </c>
      <c r="AC66" s="14">
        <f>AC48*Inputs!$H55</f>
        <v>2.0700000000000002E-3</v>
      </c>
      <c r="AD66" s="14">
        <f>AD48*Inputs!$H55</f>
        <v>2.0700000000000002E-3</v>
      </c>
      <c r="AE66" s="14">
        <f>AE48*Inputs!$H55</f>
        <v>2.0700000000000002E-3</v>
      </c>
      <c r="AF66" s="14">
        <f>AF48*Inputs!$H55</f>
        <v>2.0700000000000002E-3</v>
      </c>
      <c r="AG66" s="14">
        <f>AG48*Inputs!$H55</f>
        <v>2.0700000000000002E-3</v>
      </c>
      <c r="AH66" s="14">
        <f>AH48*Inputs!$H55</f>
        <v>2.0700000000000002E-3</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113.52600000000001</v>
      </c>
      <c r="D68" s="331">
        <f>D50*Inputs!$H57</f>
        <v>143.66700000000003</v>
      </c>
      <c r="E68" s="331">
        <f>E50*Inputs!$H57</f>
        <v>479.62237275000001</v>
      </c>
      <c r="F68" s="331">
        <f>F50*Inputs!$H57</f>
        <v>565.98249600000008</v>
      </c>
      <c r="G68" s="331">
        <f>G50*Inputs!$H57</f>
        <v>650.53488600000003</v>
      </c>
      <c r="H68" s="14">
        <f>H50*Inputs!$H57</f>
        <v>652.09013100000004</v>
      </c>
      <c r="I68" s="14">
        <f>I50*Inputs!$H57</f>
        <v>656.60141250000004</v>
      </c>
      <c r="J68" s="14">
        <f>J50*Inputs!$H57</f>
        <v>660.72939074999999</v>
      </c>
      <c r="K68" s="14">
        <f>K50*Inputs!$H57</f>
        <v>660.68077500000015</v>
      </c>
      <c r="L68" s="14">
        <f>L50*Inputs!$H57</f>
        <v>660.59704575000001</v>
      </c>
      <c r="M68" s="14">
        <f>M50*Inputs!$H57</f>
        <v>660.52934325000001</v>
      </c>
      <c r="N68" s="190">
        <f>N50*Inputs!$H57</f>
        <v>660.75180525000007</v>
      </c>
      <c r="O68" s="14">
        <f>O50*Inputs!$H57</f>
        <v>660.82084650000002</v>
      </c>
      <c r="P68" s="14">
        <f>P50*Inputs!$H57</f>
        <v>660.89803500000005</v>
      </c>
      <c r="Q68" s="14">
        <f>Q50*Inputs!$H57</f>
        <v>660.99052350000022</v>
      </c>
      <c r="R68" s="14">
        <f>R50*Inputs!$H57</f>
        <v>661.40534475000004</v>
      </c>
      <c r="S68" s="14">
        <f>S50*Inputs!$H57</f>
        <v>662.00567850000004</v>
      </c>
      <c r="T68" s="14">
        <f>T50*Inputs!$H57</f>
        <v>662.94291825000005</v>
      </c>
      <c r="U68" s="14">
        <f>U50*Inputs!$H57</f>
        <v>663.97781024999995</v>
      </c>
      <c r="V68" s="14">
        <f>V50*Inputs!$H57</f>
        <v>664.99889400000006</v>
      </c>
      <c r="W68" s="14">
        <f>W50*Inputs!$H57</f>
        <v>666.05761575000008</v>
      </c>
      <c r="X68" s="187">
        <f>X50*Inputs!$H57</f>
        <v>667.27125000000001</v>
      </c>
      <c r="Y68" s="14">
        <f>Y50*Inputs!$H57</f>
        <v>668.25312750000001</v>
      </c>
      <c r="Z68" s="14">
        <f>Z50*Inputs!$H57</f>
        <v>669.22272675000011</v>
      </c>
      <c r="AA68" s="14">
        <f>AA50*Inputs!$H57</f>
        <v>671.07483000000025</v>
      </c>
      <c r="AB68" s="14">
        <f>AB50*Inputs!$H57</f>
        <v>674.11287449999998</v>
      </c>
      <c r="AC68" s="14">
        <f>AC50*Inputs!$H57</f>
        <v>676.19604600000014</v>
      </c>
      <c r="AD68" s="14">
        <f>AD50*Inputs!$H57</f>
        <v>677.51100450000013</v>
      </c>
      <c r="AE68" s="14">
        <f>AE50*Inputs!$H57</f>
        <v>681.3985432500001</v>
      </c>
      <c r="AF68" s="14">
        <f>AF50*Inputs!$H57</f>
        <v>684.32463000000007</v>
      </c>
      <c r="AG68" s="14">
        <f>AG50*Inputs!$H57</f>
        <v>690.25666950000004</v>
      </c>
      <c r="AH68" s="14">
        <f>AH50*Inputs!$H57</f>
        <v>698.54272875000004</v>
      </c>
    </row>
    <row r="69" spans="1:34" s="20" customFormat="1" ht="15">
      <c r="A69" s="8" t="s">
        <v>128</v>
      </c>
      <c r="B69" s="38"/>
      <c r="C69" s="334">
        <f t="shared" ref="C69:AH69" si="25">SUMPRODUCT($B60:$B68,C60:C68)</f>
        <v>113.71743000000001</v>
      </c>
      <c r="D69" s="334">
        <f t="shared" si="25"/>
        <v>143.66943000000003</v>
      </c>
      <c r="E69" s="334">
        <f t="shared" si="25"/>
        <v>479.68837740928126</v>
      </c>
      <c r="F69" s="334">
        <f t="shared" si="25"/>
        <v>566.04758402750633</v>
      </c>
      <c r="G69" s="334">
        <f t="shared" si="25"/>
        <v>650.60491778083133</v>
      </c>
      <c r="H69" s="19">
        <f t="shared" si="25"/>
        <v>652.16606942840633</v>
      </c>
      <c r="I69" s="19">
        <f t="shared" si="25"/>
        <v>656.68619632533751</v>
      </c>
      <c r="J69" s="19">
        <f t="shared" si="25"/>
        <v>660.83791565863123</v>
      </c>
      <c r="K69" s="19">
        <f t="shared" si="25"/>
        <v>660.86049857265016</v>
      </c>
      <c r="L69" s="19">
        <f t="shared" si="25"/>
        <v>660.87778599371245</v>
      </c>
      <c r="M69" s="19">
        <f t="shared" si="25"/>
        <v>660.8115881664188</v>
      </c>
      <c r="N69" s="190">
        <f t="shared" si="25"/>
        <v>661.05627087161258</v>
      </c>
      <c r="O69" s="19">
        <f t="shared" si="25"/>
        <v>661.13846490330002</v>
      </c>
      <c r="P69" s="19">
        <f t="shared" si="25"/>
        <v>661.23781377766875</v>
      </c>
      <c r="Q69" s="19">
        <f t="shared" si="25"/>
        <v>661.4022059052752</v>
      </c>
      <c r="R69" s="19">
        <f t="shared" si="25"/>
        <v>661.82095128060007</v>
      </c>
      <c r="S69" s="19">
        <f t="shared" si="25"/>
        <v>662.46249507305629</v>
      </c>
      <c r="T69" s="19">
        <f t="shared" si="25"/>
        <v>663.40752830353131</v>
      </c>
      <c r="U69" s="19">
        <f t="shared" si="25"/>
        <v>664.44321945223123</v>
      </c>
      <c r="V69" s="19">
        <f t="shared" si="25"/>
        <v>665.47444142598761</v>
      </c>
      <c r="W69" s="19">
        <f t="shared" si="25"/>
        <v>666.54061713838132</v>
      </c>
      <c r="X69" s="182">
        <f t="shared" si="25"/>
        <v>667.81124749535627</v>
      </c>
      <c r="Y69" s="19">
        <f t="shared" si="25"/>
        <v>668.82959245996881</v>
      </c>
      <c r="Z69" s="19">
        <f t="shared" si="25"/>
        <v>669.81198464105637</v>
      </c>
      <c r="AA69" s="19">
        <f t="shared" si="25"/>
        <v>671.66644458555027</v>
      </c>
      <c r="AB69" s="19">
        <f t="shared" si="25"/>
        <v>674.70620900040001</v>
      </c>
      <c r="AC69" s="19">
        <f t="shared" si="25"/>
        <v>676.78972367596884</v>
      </c>
      <c r="AD69" s="19">
        <f t="shared" si="25"/>
        <v>678.10229760583138</v>
      </c>
      <c r="AE69" s="19">
        <f t="shared" si="25"/>
        <v>681.99315599199383</v>
      </c>
      <c r="AF69" s="19">
        <f t="shared" si="25"/>
        <v>684.92256764045635</v>
      </c>
      <c r="AG69" s="19">
        <f t="shared" si="25"/>
        <v>690.85421132703755</v>
      </c>
      <c r="AH69" s="19">
        <f t="shared" si="25"/>
        <v>699.14171922963749</v>
      </c>
    </row>
    <row r="70" spans="1:34" s="20" customFormat="1" ht="15">
      <c r="A70" s="27" t="s">
        <v>329</v>
      </c>
      <c r="B70" s="39"/>
      <c r="C70" s="334">
        <f>SUM(C58:C68)</f>
        <v>335.92607999999996</v>
      </c>
      <c r="D70" s="334">
        <f t="shared" ref="D70:AH70" si="26">SUM(D58:D68)</f>
        <v>328.21307999999999</v>
      </c>
      <c r="E70" s="334">
        <f t="shared" si="26"/>
        <v>756.98298975361695</v>
      </c>
      <c r="F70" s="334">
        <f t="shared" si="26"/>
        <v>783.59977967905411</v>
      </c>
      <c r="G70" s="334">
        <f t="shared" si="26"/>
        <v>929.92138438622078</v>
      </c>
      <c r="H70" s="19">
        <f t="shared" si="26"/>
        <v>951.26295187196354</v>
      </c>
      <c r="I70" s="19">
        <f t="shared" si="26"/>
        <v>974.15374167511061</v>
      </c>
      <c r="J70" s="19">
        <f t="shared" si="26"/>
        <v>983.9238623132303</v>
      </c>
      <c r="K70" s="19">
        <f t="shared" si="26"/>
        <v>1016.7442630534117</v>
      </c>
      <c r="L70" s="19">
        <f t="shared" si="26"/>
        <v>1016.761550474474</v>
      </c>
      <c r="M70" s="19">
        <f t="shared" si="26"/>
        <v>1016.6953526471802</v>
      </c>
      <c r="N70" s="182">
        <f t="shared" si="26"/>
        <v>1016.9400071189182</v>
      </c>
      <c r="O70" s="19">
        <f t="shared" si="26"/>
        <v>1021.3445738848091</v>
      </c>
      <c r="P70" s="19">
        <f t="shared" si="26"/>
        <v>1021.4439227591779</v>
      </c>
      <c r="Q70" s="19">
        <f t="shared" si="26"/>
        <v>1036.748477508075</v>
      </c>
      <c r="R70" s="19">
        <f t="shared" si="26"/>
        <v>1037.1672228833997</v>
      </c>
      <c r="S70" s="19">
        <f t="shared" si="26"/>
        <v>1037.8087666758561</v>
      </c>
      <c r="T70" s="19">
        <f t="shared" si="26"/>
        <v>1038.7537999063311</v>
      </c>
      <c r="U70" s="19">
        <f t="shared" si="26"/>
        <v>1039.7894910550308</v>
      </c>
      <c r="V70" s="19">
        <f t="shared" si="26"/>
        <v>1043.2476609185292</v>
      </c>
      <c r="W70" s="19">
        <f t="shared" si="26"/>
        <v>1044.3138366309229</v>
      </c>
      <c r="X70" s="182">
        <f t="shared" si="26"/>
        <v>1047.1638747577913</v>
      </c>
      <c r="Y70" s="19">
        <f t="shared" si="26"/>
        <v>1052.8559295848061</v>
      </c>
      <c r="Z70" s="19">
        <f t="shared" si="26"/>
        <v>1057.9222629629999</v>
      </c>
      <c r="AA70" s="19">
        <f t="shared" si="26"/>
        <v>1059.7767229074939</v>
      </c>
      <c r="AB70" s="19">
        <f t="shared" si="26"/>
        <v>1068.3965758271884</v>
      </c>
      <c r="AC70" s="19">
        <f t="shared" si="26"/>
        <v>1075.4392688401847</v>
      </c>
      <c r="AD70" s="19">
        <f t="shared" si="26"/>
        <v>1078.7789766873993</v>
      </c>
      <c r="AE70" s="19">
        <f t="shared" si="26"/>
        <v>1082.6698350735617</v>
      </c>
      <c r="AF70" s="19">
        <f t="shared" si="26"/>
        <v>1085.5992467220242</v>
      </c>
      <c r="AG70" s="19">
        <f t="shared" si="26"/>
        <v>1091.5308904086055</v>
      </c>
      <c r="AH70" s="19">
        <f t="shared" si="26"/>
        <v>1099.8183983112053</v>
      </c>
    </row>
    <row r="71" spans="1:34" s="20" customFormat="1" ht="15">
      <c r="A71" s="27" t="s">
        <v>142</v>
      </c>
      <c r="B71" s="39"/>
      <c r="C71" s="334">
        <f>C53*Inputs!$H$60</f>
        <v>6739.92</v>
      </c>
      <c r="D71" s="334">
        <f>D53*Inputs!$H$60</f>
        <v>7736.652000000001</v>
      </c>
      <c r="E71" s="334">
        <f>E53*Inputs!$H$60</f>
        <v>7997.1178381340806</v>
      </c>
      <c r="F71" s="334">
        <f>F53*Inputs!$H$60</f>
        <v>6765.553181463094</v>
      </c>
      <c r="G71" s="334">
        <f>G53*Inputs!$H$60</f>
        <v>7791.2058088005042</v>
      </c>
      <c r="H71" s="19">
        <f>H53*Inputs!$H$60</f>
        <v>7786.6874696946907</v>
      </c>
      <c r="I71" s="19">
        <f>I53*Inputs!$H$60</f>
        <v>7612.154941926965</v>
      </c>
      <c r="J71" s="19">
        <f>J53*Inputs!$H$60</f>
        <v>7540.9984563106291</v>
      </c>
      <c r="K71" s="19">
        <f>K53*Inputs!$H$60</f>
        <v>7665.4616174153625</v>
      </c>
      <c r="L71" s="19">
        <f>L53*Inputs!$H$60</f>
        <v>7757.1574598799916</v>
      </c>
      <c r="M71" s="19">
        <f>M53*Inputs!$H$60</f>
        <v>7825.2105142736655</v>
      </c>
      <c r="N71" s="190">
        <f>N53*Inputs!$H$60</f>
        <v>7858.7164644181466</v>
      </c>
      <c r="O71" s="19">
        <f>O53*Inputs!$H$60</f>
        <v>7915.8911111111693</v>
      </c>
      <c r="P71" s="19">
        <f>P53*Inputs!$H$60</f>
        <v>7942.8160337862028</v>
      </c>
      <c r="Q71" s="19">
        <f>Q53*Inputs!$H$60</f>
        <v>7937.9402707823256</v>
      </c>
      <c r="R71" s="19">
        <f>R53*Inputs!$H$60</f>
        <v>7972.4826799767152</v>
      </c>
      <c r="S71" s="19">
        <f>S53*Inputs!$H$60</f>
        <v>7989.1313271615527</v>
      </c>
      <c r="T71" s="19">
        <f>T53*Inputs!$H$60</f>
        <v>7986.343081478989</v>
      </c>
      <c r="U71" s="19">
        <f>U53*Inputs!$H$60</f>
        <v>7991.39715375384</v>
      </c>
      <c r="V71" s="19">
        <f>V53*Inputs!$H$60</f>
        <v>7989.5480903835996</v>
      </c>
      <c r="W71" s="19">
        <f>W53*Inputs!$H$60</f>
        <v>7986.7832514340871</v>
      </c>
      <c r="X71" s="182">
        <f>X53*Inputs!$H$60</f>
        <v>7950.4864510510943</v>
      </c>
      <c r="Y71" s="19">
        <f>Y53*Inputs!$H$60</f>
        <v>7924.5145559594721</v>
      </c>
      <c r="Z71" s="19">
        <f>Z53*Inputs!$H$60</f>
        <v>7910.8606854626796</v>
      </c>
      <c r="AA71" s="19">
        <f>AA53*Inputs!$H$60</f>
        <v>7903.8360781260717</v>
      </c>
      <c r="AB71" s="19">
        <f>AB53*Inputs!$H$60</f>
        <v>7899.9042096245539</v>
      </c>
      <c r="AC71" s="19">
        <f>AC53*Inputs!$H$60</f>
        <v>7894.8404559410828</v>
      </c>
      <c r="AD71" s="19">
        <f>AD53*Inputs!$H$60</f>
        <v>7890.8633504152167</v>
      </c>
      <c r="AE71" s="19">
        <f>AE53*Inputs!$H$60</f>
        <v>7883.075796673641</v>
      </c>
      <c r="AF71" s="19">
        <f>AF53*Inputs!$H$60</f>
        <v>7875.7821661240523</v>
      </c>
      <c r="AG71" s="19">
        <f>AG53*Inputs!$H$60</f>
        <v>7871.0797431725641</v>
      </c>
      <c r="AH71" s="19">
        <f>AH53*Inputs!$H$60</f>
        <v>7865.8086531274939</v>
      </c>
    </row>
    <row r="72" spans="1:34" s="20" customFormat="1" ht="15">
      <c r="A72" s="27" t="s">
        <v>222</v>
      </c>
      <c r="B72" s="39"/>
      <c r="C72" s="334">
        <f>C54*Inputs!$H$61</f>
        <v>10.791</v>
      </c>
      <c r="D72" s="334">
        <f>D54*Inputs!$H$61</f>
        <v>13.860000000000001</v>
      </c>
      <c r="E72" s="334">
        <f>E54*Inputs!$H$61</f>
        <v>47.766525029593851</v>
      </c>
      <c r="F72" s="334">
        <f>F54*Inputs!$H$61</f>
        <v>68.023539298900843</v>
      </c>
      <c r="G72" s="334">
        <f>G54*Inputs!$H$61</f>
        <v>55.248993721178415</v>
      </c>
      <c r="H72" s="19">
        <f>H54*Inputs!$H$61</f>
        <v>53.121390528862563</v>
      </c>
      <c r="I72" s="19">
        <f>I54*Inputs!$H$61</f>
        <v>58.73814321091708</v>
      </c>
      <c r="J72" s="19">
        <f>J54*Inputs!$H$61</f>
        <v>67.423327806487819</v>
      </c>
      <c r="K72" s="19">
        <f>K54*Inputs!$H$61</f>
        <v>69.289290528669412</v>
      </c>
      <c r="L72" s="19">
        <f>L54*Inputs!$H$61</f>
        <v>70.957225229191053</v>
      </c>
      <c r="M72" s="19">
        <f>M54*Inputs!$H$61</f>
        <v>72.072934777949087</v>
      </c>
      <c r="N72" s="190">
        <f>N54*Inputs!$H$61</f>
        <v>72.682188508017859</v>
      </c>
      <c r="O72" s="19">
        <f>O54*Inputs!$H$61</f>
        <v>71.30480247978393</v>
      </c>
      <c r="P72" s="19">
        <f>P54*Inputs!$H$61</f>
        <v>72.299779518570233</v>
      </c>
      <c r="Q72" s="19">
        <f>Q54*Inputs!$H$61</f>
        <v>75.172904062171881</v>
      </c>
      <c r="R72" s="19">
        <f>R54*Inputs!$H$61</f>
        <v>74.826091766782724</v>
      </c>
      <c r="S72" s="19">
        <f>S54*Inputs!$H$61</f>
        <v>74.861060243813199</v>
      </c>
      <c r="T72" s="19">
        <f>T54*Inputs!$H$61</f>
        <v>78.986736160405371</v>
      </c>
      <c r="U72" s="19">
        <f>U54*Inputs!$H$61</f>
        <v>80.382979891570827</v>
      </c>
      <c r="V72" s="19">
        <f>V54*Inputs!$H$61</f>
        <v>79.879992648385297</v>
      </c>
      <c r="W72" s="19">
        <f>W54*Inputs!$H$61</f>
        <v>80.960754644459996</v>
      </c>
      <c r="X72" s="182">
        <f>X54*Inputs!$H$61</f>
        <v>80.264744191491019</v>
      </c>
      <c r="Y72" s="19">
        <f>Y54*Inputs!$H$61</f>
        <v>84.833829408897358</v>
      </c>
      <c r="Z72" s="19">
        <f>Z54*Inputs!$H$61</f>
        <v>88.97069839138976</v>
      </c>
      <c r="AA72" s="19">
        <f>AA54*Inputs!$H$61</f>
        <v>93.544390858076298</v>
      </c>
      <c r="AB72" s="19">
        <f>AB54*Inputs!$H$61</f>
        <v>97.035812342627935</v>
      </c>
      <c r="AC72" s="19">
        <f>AC54*Inputs!$H$61</f>
        <v>99.709832963834671</v>
      </c>
      <c r="AD72" s="19">
        <f>AD54*Inputs!$H$61</f>
        <v>102.77957094590474</v>
      </c>
      <c r="AE72" s="19">
        <f>AE54*Inputs!$H$61</f>
        <v>105.12926175284225</v>
      </c>
      <c r="AF72" s="19">
        <f>AF54*Inputs!$H$61</f>
        <v>106.75604994117694</v>
      </c>
      <c r="AG72" s="19">
        <f>AG54*Inputs!$H$61</f>
        <v>106.88731469696835</v>
      </c>
      <c r="AH72" s="19">
        <f>AH54*Inputs!$H$61</f>
        <v>107.77914248998768</v>
      </c>
    </row>
    <row r="73" spans="1:34" ht="15">
      <c r="A73" s="27" t="s">
        <v>58</v>
      </c>
      <c r="C73" s="331">
        <f>SUM(C70:C72)</f>
        <v>7086.6370800000004</v>
      </c>
      <c r="D73" s="331">
        <f t="shared" ref="D73:AH73" si="27">SUM(D70:D72)</f>
        <v>8078.7250800000011</v>
      </c>
      <c r="E73" s="331">
        <f t="shared" si="27"/>
        <v>8801.867352917292</v>
      </c>
      <c r="F73" s="331">
        <f t="shared" si="27"/>
        <v>7617.176500441049</v>
      </c>
      <c r="G73" s="331">
        <f t="shared" si="27"/>
        <v>8776.3761869079026</v>
      </c>
      <c r="H73" s="14">
        <f t="shared" si="27"/>
        <v>8791.0718120955171</v>
      </c>
      <c r="I73" s="14">
        <f t="shared" si="27"/>
        <v>8645.0468268129935</v>
      </c>
      <c r="J73" s="14">
        <f t="shared" si="27"/>
        <v>8592.3456464303472</v>
      </c>
      <c r="K73" s="14">
        <f t="shared" si="27"/>
        <v>8751.4951709974448</v>
      </c>
      <c r="L73" s="14">
        <f t="shared" si="27"/>
        <v>8844.876235583657</v>
      </c>
      <c r="M73" s="14">
        <f t="shared" si="27"/>
        <v>8913.978801698795</v>
      </c>
      <c r="N73" s="190">
        <f t="shared" si="27"/>
        <v>8948.3386600450813</v>
      </c>
      <c r="O73" s="14">
        <f t="shared" si="27"/>
        <v>9008.5404874757623</v>
      </c>
      <c r="P73" s="14">
        <f t="shared" si="27"/>
        <v>9036.5597360639513</v>
      </c>
      <c r="Q73" s="14">
        <f t="shared" si="27"/>
        <v>9049.8616523525725</v>
      </c>
      <c r="R73" s="14">
        <f t="shared" si="27"/>
        <v>9084.4759946268987</v>
      </c>
      <c r="S73" s="14">
        <f t="shared" si="27"/>
        <v>9101.8011540812222</v>
      </c>
      <c r="T73" s="14">
        <f t="shared" si="27"/>
        <v>9104.0836175457243</v>
      </c>
      <c r="U73" s="14">
        <f t="shared" si="27"/>
        <v>9111.5696247004416</v>
      </c>
      <c r="V73" s="14">
        <f t="shared" si="27"/>
        <v>9112.6757439505145</v>
      </c>
      <c r="W73" s="14">
        <f t="shared" si="27"/>
        <v>9112.0578427094697</v>
      </c>
      <c r="X73" s="187">
        <f t="shared" si="27"/>
        <v>9077.9150700003756</v>
      </c>
      <c r="Y73" s="14">
        <f t="shared" si="27"/>
        <v>9062.2043149531746</v>
      </c>
      <c r="Z73" s="14">
        <f t="shared" si="27"/>
        <v>9057.7536468170692</v>
      </c>
      <c r="AA73" s="14">
        <f t="shared" si="27"/>
        <v>9057.1571918916416</v>
      </c>
      <c r="AB73" s="14">
        <f t="shared" si="27"/>
        <v>9065.3365977943704</v>
      </c>
      <c r="AC73" s="14">
        <f t="shared" si="27"/>
        <v>9069.9895577451007</v>
      </c>
      <c r="AD73" s="14">
        <f t="shared" si="27"/>
        <v>9072.4218980485202</v>
      </c>
      <c r="AE73" s="14">
        <f t="shared" si="27"/>
        <v>9070.874893500044</v>
      </c>
      <c r="AF73" s="14">
        <f t="shared" si="27"/>
        <v>9068.1374627872538</v>
      </c>
      <c r="AG73" s="14">
        <f t="shared" si="27"/>
        <v>9069.4979482781382</v>
      </c>
      <c r="AH73" s="14">
        <f t="shared" si="27"/>
        <v>9073.4061939286876</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47"/>
      <c r="B1" s="547"/>
      <c r="C1" s="547"/>
      <c r="D1" s="547"/>
      <c r="E1" s="547"/>
      <c r="F1" s="547"/>
      <c r="G1" s="547"/>
      <c r="H1" s="547"/>
      <c r="I1" s="547"/>
      <c r="J1" s="547"/>
      <c r="K1" s="547"/>
      <c r="L1" s="547"/>
      <c r="M1" s="547"/>
      <c r="N1" s="547"/>
      <c r="O1" s="547"/>
      <c r="P1" s="547"/>
    </row>
    <row r="2" spans="1:16">
      <c r="A2" s="547"/>
      <c r="B2" s="547"/>
      <c r="C2" s="547"/>
      <c r="D2" s="547"/>
      <c r="E2" s="547"/>
      <c r="F2" s="547"/>
      <c r="G2" s="547"/>
      <c r="H2" s="547"/>
      <c r="I2" s="547"/>
      <c r="J2" s="547"/>
      <c r="K2" s="547"/>
      <c r="L2" s="547"/>
      <c r="M2" s="547"/>
      <c r="N2" s="547"/>
      <c r="O2" s="547"/>
      <c r="P2" s="547"/>
    </row>
    <row r="3" spans="1:16">
      <c r="A3" s="547"/>
      <c r="B3" s="547"/>
      <c r="C3" s="547"/>
      <c r="D3" s="547"/>
      <c r="E3" s="547"/>
      <c r="F3" s="547"/>
      <c r="G3" s="547"/>
      <c r="H3" s="547"/>
      <c r="I3" s="547"/>
      <c r="J3" s="547"/>
      <c r="K3" s="547"/>
      <c r="L3" s="547"/>
      <c r="M3" s="547"/>
      <c r="N3" s="547"/>
      <c r="O3" s="547"/>
      <c r="P3" s="547"/>
    </row>
    <row r="4" spans="1:16">
      <c r="A4" s="547"/>
      <c r="B4" s="547"/>
      <c r="C4" s="547"/>
      <c r="D4" s="547"/>
      <c r="E4" s="547"/>
      <c r="F4" s="547"/>
      <c r="G4" s="547"/>
      <c r="H4" s="547"/>
      <c r="I4" s="547"/>
      <c r="J4" s="547"/>
      <c r="K4" s="547"/>
      <c r="L4" s="547"/>
      <c r="M4" s="547"/>
      <c r="N4" s="547"/>
      <c r="O4" s="547"/>
      <c r="P4" s="547"/>
    </row>
    <row r="5" spans="1:16">
      <c r="A5" s="547"/>
      <c r="B5" s="547"/>
      <c r="C5" s="547"/>
      <c r="D5" s="547"/>
      <c r="E5" s="547"/>
      <c r="F5" s="547"/>
      <c r="G5" s="547"/>
      <c r="H5" s="547"/>
      <c r="I5" s="547"/>
      <c r="J5" s="547"/>
      <c r="K5" s="547"/>
      <c r="L5" s="547"/>
      <c r="M5" s="547"/>
      <c r="N5" s="547"/>
      <c r="O5" s="547"/>
      <c r="P5" s="547"/>
    </row>
    <row r="6" spans="1:16">
      <c r="A6" s="547"/>
      <c r="B6" s="547"/>
      <c r="C6" s="547"/>
      <c r="D6" s="547"/>
      <c r="E6" s="547"/>
      <c r="F6" s="547"/>
      <c r="G6" s="547"/>
      <c r="H6" s="547"/>
      <c r="I6" s="547"/>
      <c r="J6" s="547"/>
      <c r="K6" s="547"/>
      <c r="L6" s="547"/>
      <c r="M6" s="547"/>
      <c r="N6" s="547"/>
      <c r="O6" s="547"/>
      <c r="P6" s="547"/>
    </row>
    <row r="7" spans="1:16">
      <c r="A7" s="547"/>
      <c r="B7" s="547"/>
      <c r="C7" s="547"/>
      <c r="D7" s="547"/>
      <c r="E7" s="547"/>
      <c r="F7" s="547"/>
      <c r="G7" s="547"/>
      <c r="H7" s="547"/>
      <c r="I7" s="547"/>
      <c r="J7" s="547"/>
      <c r="K7" s="547"/>
      <c r="L7" s="547"/>
      <c r="M7" s="547"/>
      <c r="N7" s="547"/>
      <c r="O7" s="547"/>
      <c r="P7" s="547"/>
    </row>
    <row r="8" spans="1:16">
      <c r="A8" s="547"/>
      <c r="B8" s="547"/>
      <c r="C8" s="547"/>
      <c r="D8" s="547"/>
      <c r="E8" s="547"/>
      <c r="F8" s="547"/>
      <c r="G8" s="547"/>
      <c r="H8" s="547"/>
      <c r="I8" s="547"/>
      <c r="J8" s="547"/>
      <c r="K8" s="547"/>
      <c r="L8" s="547"/>
      <c r="M8" s="547"/>
      <c r="N8" s="547"/>
      <c r="O8" s="547"/>
      <c r="P8" s="547"/>
    </row>
    <row r="9" spans="1:16" ht="2.25" customHeight="1">
      <c r="A9" s="547"/>
      <c r="B9" s="547"/>
      <c r="C9" s="547"/>
      <c r="D9" s="547"/>
      <c r="E9" s="547"/>
      <c r="F9" s="547"/>
      <c r="G9" s="547"/>
      <c r="H9" s="547"/>
      <c r="I9" s="547"/>
      <c r="J9" s="547"/>
      <c r="K9" s="547"/>
      <c r="L9" s="547"/>
      <c r="M9" s="547"/>
      <c r="N9" s="547"/>
      <c r="O9" s="547"/>
      <c r="P9" s="547"/>
    </row>
    <row r="10" spans="1:16" hidden="1">
      <c r="A10" s="547"/>
      <c r="B10" s="547"/>
      <c r="C10" s="547"/>
      <c r="D10" s="547"/>
      <c r="E10" s="547"/>
      <c r="F10" s="547"/>
      <c r="G10" s="547"/>
      <c r="H10" s="547"/>
      <c r="I10" s="547"/>
      <c r="J10" s="547"/>
      <c r="K10" s="547"/>
      <c r="L10" s="547"/>
      <c r="M10" s="547"/>
      <c r="N10" s="547"/>
      <c r="O10" s="547"/>
      <c r="P10" s="547"/>
    </row>
    <row r="11" spans="1:16">
      <c r="A11" s="548" t="s">
        <v>212</v>
      </c>
      <c r="B11" s="550">
        <v>2000</v>
      </c>
      <c r="C11" s="552" t="s">
        <v>219</v>
      </c>
      <c r="D11" s="552" t="s">
        <v>556</v>
      </c>
      <c r="E11" s="555" t="s">
        <v>213</v>
      </c>
      <c r="F11" s="556"/>
      <c r="G11" s="550"/>
      <c r="H11" s="559" t="s">
        <v>557</v>
      </c>
      <c r="I11" s="560"/>
      <c r="J11" s="560"/>
      <c r="K11" s="560"/>
      <c r="L11" s="560"/>
      <c r="M11" s="560"/>
      <c r="N11" s="560"/>
      <c r="O11" s="561"/>
    </row>
    <row r="12" spans="1:16">
      <c r="A12" s="549"/>
      <c r="B12" s="551"/>
      <c r="C12" s="553"/>
      <c r="D12" s="553"/>
      <c r="E12" s="557"/>
      <c r="F12" s="558"/>
      <c r="G12" s="551"/>
      <c r="H12" s="558" t="s">
        <v>214</v>
      </c>
      <c r="I12" s="551"/>
      <c r="J12" s="557" t="s">
        <v>215</v>
      </c>
      <c r="K12" s="551"/>
      <c r="L12" s="557" t="s">
        <v>216</v>
      </c>
      <c r="M12" s="558"/>
      <c r="N12" s="558"/>
      <c r="O12" s="551"/>
    </row>
    <row r="13" spans="1:16" ht="67" thickBot="1">
      <c r="A13" s="211" t="s">
        <v>217</v>
      </c>
      <c r="B13" s="211" t="s">
        <v>218</v>
      </c>
      <c r="C13" s="554"/>
      <c r="D13" s="554"/>
      <c r="E13" s="411" t="s">
        <v>558</v>
      </c>
      <c r="F13" s="435" t="s">
        <v>559</v>
      </c>
      <c r="G13" s="212" t="s">
        <v>308</v>
      </c>
      <c r="H13" s="423" t="s">
        <v>360</v>
      </c>
      <c r="I13" s="435" t="s">
        <v>560</v>
      </c>
      <c r="J13" s="411" t="s">
        <v>360</v>
      </c>
      <c r="K13" s="435" t="s">
        <v>560</v>
      </c>
      <c r="L13" s="411" t="s">
        <v>360</v>
      </c>
      <c r="M13" s="435" t="s">
        <v>560</v>
      </c>
      <c r="N13" s="212" t="s">
        <v>58</v>
      </c>
      <c r="O13" s="212" t="s">
        <v>561</v>
      </c>
    </row>
    <row r="14" spans="1:16" ht="13" thickTop="1">
      <c r="A14" s="443" t="s">
        <v>562</v>
      </c>
      <c r="B14" s="443" t="s">
        <v>563</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43">
        <f>AVERAGE(N14:N15)</f>
        <v>0.20532702121944668</v>
      </c>
    </row>
    <row r="15" spans="1:16" ht="13" thickBot="1">
      <c r="A15" s="223" t="s">
        <v>564</v>
      </c>
      <c r="B15" s="223" t="s">
        <v>565</v>
      </c>
      <c r="C15" s="224">
        <v>0.85</v>
      </c>
      <c r="D15" s="225">
        <v>40</v>
      </c>
      <c r="E15" s="226">
        <v>8.5</v>
      </c>
      <c r="F15" s="432">
        <v>0.24</v>
      </c>
      <c r="G15" s="530">
        <v>0.13</v>
      </c>
      <c r="H15" s="414">
        <f t="shared" si="0"/>
        <v>0.21249999999999999</v>
      </c>
      <c r="I15" s="530">
        <f t="shared" si="1"/>
        <v>1.2079800000000001</v>
      </c>
      <c r="J15" s="427">
        <f t="shared" si="2"/>
        <v>0.25</v>
      </c>
      <c r="K15" s="530">
        <f t="shared" si="3"/>
        <v>1.4211529411764707</v>
      </c>
      <c r="L15" s="427">
        <f t="shared" si="4"/>
        <v>2.8538812785388126E-2</v>
      </c>
      <c r="M15" s="530">
        <f t="shared" si="4"/>
        <v>0.16223207091055603</v>
      </c>
      <c r="N15" s="419">
        <f t="shared" si="5"/>
        <v>0.19077088369594414</v>
      </c>
      <c r="O15" s="544"/>
    </row>
    <row r="16" spans="1:16">
      <c r="A16" s="227" t="s">
        <v>566</v>
      </c>
      <c r="B16" s="227" t="s">
        <v>567</v>
      </c>
      <c r="C16" s="228">
        <v>0.9</v>
      </c>
      <c r="D16" s="229">
        <v>40</v>
      </c>
      <c r="E16" s="230">
        <f>36000/5600</f>
        <v>6.4285714285714288</v>
      </c>
      <c r="F16" s="464">
        <f>10000/5600</f>
        <v>1.7857142857142858</v>
      </c>
      <c r="G16" s="230">
        <v>0</v>
      </c>
      <c r="H16" s="412">
        <f t="shared" si="0"/>
        <v>0.16071428571428573</v>
      </c>
      <c r="I16" s="531">
        <f t="shared" si="1"/>
        <v>1.7857142857142858</v>
      </c>
      <c r="J16" s="428">
        <f t="shared" si="2"/>
        <v>0.17857142857142858</v>
      </c>
      <c r="K16" s="531">
        <f t="shared" si="3"/>
        <v>1.9841269841269842</v>
      </c>
      <c r="L16" s="428">
        <f t="shared" si="4"/>
        <v>2.0384866275277233E-2</v>
      </c>
      <c r="M16" s="531">
        <f t="shared" si="4"/>
        <v>0.22649851416974706</v>
      </c>
      <c r="N16" s="421">
        <f t="shared" si="5"/>
        <v>0.24688338044502428</v>
      </c>
      <c r="O16" s="545">
        <f>AVERAGE(N16:N18)</f>
        <v>0.24750247638375492</v>
      </c>
    </row>
    <row r="17" spans="1:15">
      <c r="A17" s="217" t="s">
        <v>568</v>
      </c>
      <c r="B17" s="217" t="s">
        <v>312</v>
      </c>
      <c r="C17" s="218">
        <v>0.9</v>
      </c>
      <c r="D17" s="219">
        <v>40</v>
      </c>
      <c r="E17" s="216">
        <v>17.5</v>
      </c>
      <c r="F17" s="529">
        <v>1.7</v>
      </c>
      <c r="G17" s="216">
        <v>0</v>
      </c>
      <c r="H17" s="528">
        <f>E17/D17</f>
        <v>0.4375</v>
      </c>
      <c r="I17" s="532">
        <f>F17+G17*8760/1000*C17</f>
        <v>1.7</v>
      </c>
      <c r="J17" s="429">
        <f>H17/C17</f>
        <v>0.4861111111111111</v>
      </c>
      <c r="K17" s="532">
        <f>I17/C17</f>
        <v>1.8888888888888888</v>
      </c>
      <c r="L17" s="429">
        <f t="shared" si="4"/>
        <v>5.5492135971588023E-2</v>
      </c>
      <c r="M17" s="532">
        <f t="shared" si="4"/>
        <v>0.21562658548959918</v>
      </c>
      <c r="N17" s="420">
        <f>SUM(L17:M17)</f>
        <v>0.27111872146118721</v>
      </c>
      <c r="O17" s="546"/>
    </row>
    <row r="18" spans="1:15" ht="13" thickBot="1">
      <c r="A18" s="451" t="s">
        <v>569</v>
      </c>
      <c r="B18" s="451" t="s">
        <v>563</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44"/>
    </row>
    <row r="19" spans="1:15">
      <c r="A19" s="227" t="s">
        <v>570</v>
      </c>
      <c r="B19" s="227" t="s">
        <v>312</v>
      </c>
      <c r="C19" s="228">
        <v>0.85</v>
      </c>
      <c r="D19" s="229">
        <v>40</v>
      </c>
      <c r="E19" s="230">
        <v>21.3</v>
      </c>
      <c r="F19" s="464">
        <v>7.8</v>
      </c>
      <c r="G19" s="230">
        <v>0</v>
      </c>
      <c r="H19" s="412">
        <f>E19/D19</f>
        <v>0.53249999999999997</v>
      </c>
      <c r="I19" s="531">
        <f>F19+G19*8760/1000*C19</f>
        <v>7.8</v>
      </c>
      <c r="J19" s="428">
        <f>H19/C19</f>
        <v>0.62647058823529411</v>
      </c>
      <c r="K19" s="531">
        <f>I19/C19</f>
        <v>9.1764705882352935</v>
      </c>
      <c r="L19" s="428">
        <f t="shared" si="4"/>
        <v>7.1514907332796127E-2</v>
      </c>
      <c r="M19" s="531">
        <f t="shared" si="4"/>
        <v>1.0475423045930701</v>
      </c>
      <c r="N19" s="421">
        <f>SUM(L19:M19)</f>
        <v>1.1190572119258662</v>
      </c>
      <c r="O19" s="545">
        <f>AVERAGE(N19:N20)</f>
        <v>0.71885911899006172</v>
      </c>
    </row>
    <row r="20" spans="1:15" ht="13" thickBot="1">
      <c r="A20" s="451" t="s">
        <v>571</v>
      </c>
      <c r="B20" s="451" t="s">
        <v>563</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44"/>
    </row>
    <row r="21" spans="1:15" ht="13" thickBot="1">
      <c r="A21" s="231" t="s">
        <v>572</v>
      </c>
      <c r="B21" s="231" t="s">
        <v>563</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573</v>
      </c>
      <c r="C22" s="237">
        <v>0.2</v>
      </c>
      <c r="D22" s="238">
        <v>25</v>
      </c>
      <c r="E22" s="239">
        <v>37</v>
      </c>
      <c r="F22" s="468">
        <v>1</v>
      </c>
      <c r="G22" s="239">
        <v>0</v>
      </c>
      <c r="H22" s="424">
        <f>E22/D22</f>
        <v>1.48</v>
      </c>
      <c r="I22" s="533">
        <f>F22+G22*8760/1000*C22</f>
        <v>1</v>
      </c>
      <c r="J22" s="431">
        <f>H22/C22</f>
        <v>7.3999999999999995</v>
      </c>
      <c r="K22" s="533">
        <f>I22/C22</f>
        <v>5</v>
      </c>
      <c r="L22" s="431">
        <f>J22/8760*1000</f>
        <v>0.84474885844748848</v>
      </c>
      <c r="M22" s="533">
        <f>K22/8760*1000</f>
        <v>0.57077625570776247</v>
      </c>
      <c r="N22" s="426">
        <f>SUM(L22:M22)</f>
        <v>1.415525114155251</v>
      </c>
      <c r="O22" s="565">
        <f>N39</f>
        <v>0.79313246811604099</v>
      </c>
    </row>
    <row r="23" spans="1:15">
      <c r="A23" s="455" t="s">
        <v>310</v>
      </c>
      <c r="B23" s="455" t="s">
        <v>221</v>
      </c>
      <c r="C23" s="456">
        <v>0.2</v>
      </c>
      <c r="D23" s="457">
        <v>25</v>
      </c>
      <c r="E23" s="458">
        <v>32.340000000000003</v>
      </c>
      <c r="F23" s="467">
        <v>0.37</v>
      </c>
      <c r="G23" s="458">
        <v>0</v>
      </c>
      <c r="H23" s="459">
        <f t="shared" si="0"/>
        <v>1.2936000000000001</v>
      </c>
      <c r="I23" s="527">
        <f t="shared" si="1"/>
        <v>0.37</v>
      </c>
      <c r="J23" s="460">
        <f t="shared" si="2"/>
        <v>6.468</v>
      </c>
      <c r="K23" s="527">
        <f t="shared" si="3"/>
        <v>1.8499999999999999</v>
      </c>
      <c r="L23" s="460">
        <f t="shared" si="4"/>
        <v>0.73835616438356166</v>
      </c>
      <c r="M23" s="527">
        <f t="shared" si="4"/>
        <v>0.21118721461187212</v>
      </c>
      <c r="N23" s="461">
        <f t="shared" si="5"/>
        <v>0.94954337899543373</v>
      </c>
      <c r="O23" s="566"/>
    </row>
    <row r="24" spans="1:15" ht="13" thickBot="1">
      <c r="A24" s="451" t="s">
        <v>311</v>
      </c>
      <c r="B24" s="451" t="s">
        <v>563</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67"/>
    </row>
    <row r="25" spans="1:15">
      <c r="A25" s="227" t="s">
        <v>434</v>
      </c>
      <c r="B25" s="227" t="s">
        <v>438</v>
      </c>
      <c r="C25" s="240">
        <v>0.4</v>
      </c>
      <c r="D25" s="229">
        <v>25</v>
      </c>
      <c r="E25" s="230">
        <f>10310/1000</f>
        <v>10.31</v>
      </c>
      <c r="F25" s="464">
        <v>1</v>
      </c>
      <c r="G25" s="230">
        <v>0</v>
      </c>
      <c r="H25" s="424">
        <f t="shared" si="0"/>
        <v>0.41240000000000004</v>
      </c>
      <c r="I25" s="533">
        <f t="shared" si="1"/>
        <v>1</v>
      </c>
      <c r="J25" s="431">
        <f t="shared" si="2"/>
        <v>1.0310000000000001</v>
      </c>
      <c r="K25" s="533">
        <f t="shared" si="3"/>
        <v>2.5</v>
      </c>
      <c r="L25" s="431">
        <f t="shared" si="4"/>
        <v>0.11769406392694066</v>
      </c>
      <c r="M25" s="533">
        <f t="shared" si="4"/>
        <v>0.28538812785388123</v>
      </c>
      <c r="N25" s="426">
        <f t="shared" si="5"/>
        <v>0.40308219178082189</v>
      </c>
      <c r="O25" s="545">
        <f>AVERAGE(N25:N26,N27)</f>
        <v>0.23028919330289191</v>
      </c>
    </row>
    <row r="26" spans="1:15">
      <c r="A26" s="214" t="s">
        <v>435</v>
      </c>
      <c r="B26" s="214" t="s">
        <v>437</v>
      </c>
      <c r="C26" s="220">
        <v>0.4</v>
      </c>
      <c r="D26" s="215">
        <v>25</v>
      </c>
      <c r="E26" s="216">
        <v>4.5</v>
      </c>
      <c r="F26" s="529">
        <v>0.38</v>
      </c>
      <c r="G26" s="532">
        <v>0</v>
      </c>
      <c r="H26" s="415">
        <f t="shared" si="0"/>
        <v>0.18</v>
      </c>
      <c r="I26" s="532">
        <f t="shared" si="1"/>
        <v>0.38</v>
      </c>
      <c r="J26" s="429">
        <f t="shared" si="2"/>
        <v>0.44999999999999996</v>
      </c>
      <c r="K26" s="532">
        <f t="shared" si="3"/>
        <v>0.95</v>
      </c>
      <c r="L26" s="429">
        <f t="shared" si="4"/>
        <v>5.1369863013698627E-2</v>
      </c>
      <c r="M26" s="532">
        <f t="shared" si="4"/>
        <v>0.10844748858447488</v>
      </c>
      <c r="N26" s="420">
        <f t="shared" si="5"/>
        <v>0.15981735159817351</v>
      </c>
      <c r="O26" s="546"/>
    </row>
    <row r="27" spans="1:15" ht="13" thickBot="1">
      <c r="A27" s="436" t="s">
        <v>436</v>
      </c>
      <c r="B27" s="436" t="s">
        <v>563</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44"/>
    </row>
    <row r="28" spans="1:15">
      <c r="A28" s="241" t="s">
        <v>574</v>
      </c>
      <c r="B28" s="241" t="s">
        <v>362</v>
      </c>
      <c r="C28" s="240">
        <v>0.35</v>
      </c>
      <c r="D28" s="229">
        <v>25</v>
      </c>
      <c r="E28" s="230">
        <v>10.1</v>
      </c>
      <c r="F28" s="464">
        <v>0.4</v>
      </c>
      <c r="G28" s="531">
        <v>0</v>
      </c>
      <c r="H28" s="425">
        <f t="shared" si="0"/>
        <v>0.40399999999999997</v>
      </c>
      <c r="I28" s="531">
        <f t="shared" si="1"/>
        <v>0.4</v>
      </c>
      <c r="J28" s="428">
        <f t="shared" si="2"/>
        <v>1.1542857142857144</v>
      </c>
      <c r="K28" s="531">
        <f t="shared" si="3"/>
        <v>1.142857142857143</v>
      </c>
      <c r="L28" s="428">
        <f t="shared" si="4"/>
        <v>0.13176777560339206</v>
      </c>
      <c r="M28" s="531">
        <f t="shared" si="4"/>
        <v>0.13046314416177432</v>
      </c>
      <c r="N28" s="421">
        <f t="shared" si="5"/>
        <v>0.26223091976516638</v>
      </c>
      <c r="O28" s="545">
        <f>AVERAGE(N28,N29,N30:N32)</f>
        <v>0.16974559686888452</v>
      </c>
    </row>
    <row r="29" spans="1:15">
      <c r="A29" s="214" t="s">
        <v>220</v>
      </c>
      <c r="B29" s="214" t="s">
        <v>221</v>
      </c>
      <c r="C29" s="220">
        <v>0.35</v>
      </c>
      <c r="D29" s="219">
        <v>25</v>
      </c>
      <c r="E29" s="216">
        <v>3.8</v>
      </c>
      <c r="F29" s="529">
        <v>0.14399999999999999</v>
      </c>
      <c r="G29" s="532">
        <v>0</v>
      </c>
      <c r="H29" s="415">
        <f t="shared" si="0"/>
        <v>0.152</v>
      </c>
      <c r="I29" s="532">
        <f t="shared" si="1"/>
        <v>0.14399999999999999</v>
      </c>
      <c r="J29" s="429">
        <f t="shared" si="2"/>
        <v>0.43428571428571427</v>
      </c>
      <c r="K29" s="532">
        <f t="shared" si="3"/>
        <v>0.41142857142857142</v>
      </c>
      <c r="L29" s="429">
        <f t="shared" si="4"/>
        <v>4.9575994781474238E-2</v>
      </c>
      <c r="M29" s="532">
        <f t="shared" si="4"/>
        <v>4.6966731898238752E-2</v>
      </c>
      <c r="N29" s="420">
        <f t="shared" si="5"/>
        <v>9.654272667971299E-2</v>
      </c>
      <c r="O29" s="546"/>
    </row>
    <row r="30" spans="1:15">
      <c r="A30" s="214" t="s">
        <v>361</v>
      </c>
      <c r="B30" s="214" t="s">
        <v>575</v>
      </c>
      <c r="C30" s="220">
        <v>0.35</v>
      </c>
      <c r="D30" s="215">
        <v>25</v>
      </c>
      <c r="E30" s="532">
        <v>10.96</v>
      </c>
      <c r="F30" s="429">
        <v>0.17499999999999999</v>
      </c>
      <c r="G30" s="532">
        <v>0</v>
      </c>
      <c r="H30" s="415">
        <f t="shared" si="0"/>
        <v>0.43840000000000001</v>
      </c>
      <c r="I30" s="532">
        <f t="shared" si="1"/>
        <v>0.17499999999999999</v>
      </c>
      <c r="J30" s="429">
        <f t="shared" si="2"/>
        <v>1.2525714285714287</v>
      </c>
      <c r="K30" s="532">
        <f t="shared" si="3"/>
        <v>0.5</v>
      </c>
      <c r="L30" s="429">
        <f t="shared" si="4"/>
        <v>0.14298760600130464</v>
      </c>
      <c r="M30" s="532">
        <f t="shared" si="4"/>
        <v>5.7077625570776253E-2</v>
      </c>
      <c r="N30" s="420">
        <f t="shared" si="5"/>
        <v>0.20006523157208089</v>
      </c>
      <c r="O30" s="546"/>
    </row>
    <row r="31" spans="1:15">
      <c r="A31" s="214" t="s">
        <v>576</v>
      </c>
      <c r="B31" s="214" t="s">
        <v>312</v>
      </c>
      <c r="C31" s="220">
        <v>0.35</v>
      </c>
      <c r="D31" s="215">
        <v>25</v>
      </c>
      <c r="E31" s="532">
        <v>7.4</v>
      </c>
      <c r="F31" s="429">
        <v>0.2</v>
      </c>
      <c r="G31" s="532">
        <v>0</v>
      </c>
      <c r="H31" s="415">
        <f t="shared" si="0"/>
        <v>0.29600000000000004</v>
      </c>
      <c r="I31" s="532">
        <f t="shared" si="1"/>
        <v>0.2</v>
      </c>
      <c r="J31" s="429">
        <f t="shared" si="2"/>
        <v>0.84571428571428586</v>
      </c>
      <c r="K31" s="532">
        <f t="shared" si="3"/>
        <v>0.57142857142857151</v>
      </c>
      <c r="L31" s="429">
        <f t="shared" si="4"/>
        <v>9.6542726679713003E-2</v>
      </c>
      <c r="M31" s="532">
        <f t="shared" si="4"/>
        <v>6.523157208088716E-2</v>
      </c>
      <c r="N31" s="420">
        <f t="shared" si="5"/>
        <v>0.16177429876060018</v>
      </c>
      <c r="O31" s="546"/>
    </row>
    <row r="32" spans="1:15" ht="13" thickBot="1">
      <c r="A32" s="436" t="s">
        <v>577</v>
      </c>
      <c r="B32" s="436" t="s">
        <v>563</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44"/>
    </row>
    <row r="33" spans="1:15" ht="23" thickBot="1">
      <c r="A33" s="231" t="s">
        <v>431</v>
      </c>
      <c r="B33" s="231" t="s">
        <v>432</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433</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427</v>
      </c>
      <c r="B37" s="213" t="s">
        <v>429</v>
      </c>
      <c r="C37" s="245">
        <v>1</v>
      </c>
      <c r="D37" s="222">
        <v>20</v>
      </c>
      <c r="E37" s="535" t="s">
        <v>0</v>
      </c>
      <c r="F37" s="536"/>
      <c r="G37" s="536"/>
      <c r="H37" s="536"/>
      <c r="I37" s="536"/>
      <c r="J37" s="536"/>
      <c r="K37" s="536"/>
      <c r="L37" s="536"/>
      <c r="M37" s="537"/>
      <c r="N37" s="418">
        <v>0.17</v>
      </c>
      <c r="O37" s="538">
        <f>AVERAGE(N37,N38)</f>
        <v>0.38</v>
      </c>
    </row>
    <row r="38" spans="1:15">
      <c r="A38" s="214" t="s">
        <v>428</v>
      </c>
      <c r="B38" s="214" t="s">
        <v>430</v>
      </c>
      <c r="C38" s="221">
        <v>1</v>
      </c>
      <c r="D38" s="215">
        <v>20</v>
      </c>
      <c r="E38" s="540" t="s">
        <v>0</v>
      </c>
      <c r="F38" s="541"/>
      <c r="G38" s="541"/>
      <c r="H38" s="541"/>
      <c r="I38" s="541"/>
      <c r="J38" s="541"/>
      <c r="K38" s="541"/>
      <c r="L38" s="541"/>
      <c r="M38" s="542"/>
      <c r="N38" s="420">
        <v>0.59</v>
      </c>
      <c r="O38" s="539"/>
    </row>
    <row r="39" spans="1:15">
      <c r="A39" s="81" t="s">
        <v>758</v>
      </c>
      <c r="B39" s="81" t="s">
        <v>759</v>
      </c>
      <c r="C39" s="568">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69"/>
    </row>
  </sheetData>
  <mergeCells count="19">
    <mergeCell ref="A1:P10"/>
    <mergeCell ref="A11:A12"/>
    <mergeCell ref="B11:B12"/>
    <mergeCell ref="C11:C13"/>
    <mergeCell ref="D11:D13"/>
    <mergeCell ref="E11:G12"/>
    <mergeCell ref="H11:O11"/>
    <mergeCell ref="H12:I12"/>
    <mergeCell ref="J12:K12"/>
    <mergeCell ref="L12:O12"/>
    <mergeCell ref="E37:M37"/>
    <mergeCell ref="O37:O38"/>
    <mergeCell ref="E38:M38"/>
    <mergeCell ref="O14:O15"/>
    <mergeCell ref="O16:O18"/>
    <mergeCell ref="O19:O20"/>
    <mergeCell ref="O22:O24"/>
    <mergeCell ref="O25:O27"/>
    <mergeCell ref="O28:O3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2"/>
      <c r="C1" s="562"/>
      <c r="D1" s="562"/>
      <c r="E1" s="562"/>
      <c r="F1" s="562"/>
      <c r="G1" s="562"/>
      <c r="H1" s="562"/>
      <c r="I1" s="562"/>
      <c r="J1" s="562"/>
      <c r="K1" s="562"/>
      <c r="L1" s="562"/>
    </row>
    <row r="2" spans="1:12">
      <c r="B2" s="562"/>
      <c r="C2" s="562"/>
      <c r="D2" s="562"/>
      <c r="E2" s="562"/>
      <c r="F2" s="562"/>
      <c r="G2" s="562"/>
      <c r="H2" s="562"/>
      <c r="I2" s="562"/>
      <c r="J2" s="562"/>
      <c r="K2" s="562"/>
      <c r="L2" s="562"/>
    </row>
    <row r="3" spans="1:12">
      <c r="B3" s="562"/>
      <c r="C3" s="562"/>
      <c r="D3" s="562"/>
      <c r="E3" s="562"/>
      <c r="F3" s="562"/>
      <c r="G3" s="562"/>
      <c r="H3" s="562"/>
      <c r="I3" s="562"/>
      <c r="J3" s="562"/>
      <c r="K3" s="562"/>
      <c r="L3" s="562"/>
    </row>
    <row r="4" spans="1:12">
      <c r="B4" s="562"/>
      <c r="C4" s="562"/>
      <c r="D4" s="562"/>
      <c r="E4" s="562"/>
      <c r="F4" s="562"/>
      <c r="G4" s="562"/>
      <c r="H4" s="562"/>
      <c r="I4" s="562"/>
      <c r="J4" s="562"/>
      <c r="K4" s="562"/>
      <c r="L4" s="562"/>
    </row>
    <row r="5" spans="1:12">
      <c r="B5" s="562"/>
      <c r="C5" s="562"/>
      <c r="D5" s="562"/>
      <c r="E5" s="562"/>
      <c r="F5" s="562"/>
      <c r="G5" s="562"/>
      <c r="H5" s="562"/>
      <c r="I5" s="562"/>
      <c r="J5" s="562"/>
      <c r="K5" s="562"/>
      <c r="L5" s="562"/>
    </row>
    <row r="6" spans="1:12">
      <c r="B6" s="562"/>
      <c r="C6" s="562"/>
      <c r="D6" s="562"/>
      <c r="E6" s="562"/>
      <c r="F6" s="562"/>
      <c r="G6" s="562"/>
      <c r="H6" s="562"/>
      <c r="I6" s="562"/>
      <c r="J6" s="562"/>
      <c r="K6" s="562"/>
      <c r="L6" s="562"/>
    </row>
    <row r="7" spans="1:12">
      <c r="B7" s="562"/>
      <c r="C7" s="562"/>
      <c r="D7" s="562"/>
      <c r="E7" s="562"/>
      <c r="F7" s="562"/>
      <c r="G7" s="562"/>
      <c r="H7" s="562"/>
      <c r="I7" s="562"/>
      <c r="J7" s="562"/>
      <c r="K7" s="562"/>
      <c r="L7" s="562"/>
    </row>
    <row r="8" spans="1:12">
      <c r="B8" s="562"/>
      <c r="C8" s="562"/>
      <c r="D8" s="562"/>
      <c r="E8" s="562"/>
      <c r="F8" s="562"/>
      <c r="G8" s="562"/>
      <c r="H8" s="562"/>
      <c r="I8" s="562"/>
      <c r="J8" s="562"/>
      <c r="K8" s="562"/>
      <c r="L8" s="562"/>
    </row>
    <row r="9" spans="1:12" ht="48" customHeight="1">
      <c r="B9" s="562"/>
      <c r="C9" s="562"/>
      <c r="D9" s="562"/>
      <c r="E9" s="562"/>
      <c r="F9" s="562"/>
      <c r="G9" s="562"/>
      <c r="H9" s="562"/>
      <c r="I9" s="562"/>
      <c r="J9" s="562"/>
      <c r="K9" s="562"/>
      <c r="L9" s="562"/>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9" zoomScale="125" zoomScaleNormal="125" zoomScalePageLayoutView="125" workbookViewId="0">
      <pane xSplit="1" topLeftCell="B1" activePane="topRight" state="frozen"/>
      <selection activeCell="A33" sqref="A33"/>
      <selection pane="topRight" activeCell="G58" sqref="G58"/>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705</v>
      </c>
    </row>
    <row r="3" spans="1:37">
      <c r="A3" s="272" t="s">
        <v>657</v>
      </c>
    </row>
    <row r="4" spans="1:37">
      <c r="A4" s="272" t="s">
        <v>592</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582</v>
      </c>
      <c r="AB11" s="319" t="s">
        <v>583</v>
      </c>
      <c r="AC11" s="319" t="s">
        <v>584</v>
      </c>
      <c r="AD11" s="319" t="s">
        <v>585</v>
      </c>
      <c r="AE11" s="319" t="s">
        <v>586</v>
      </c>
      <c r="AF11" s="319" t="s">
        <v>587</v>
      </c>
      <c r="AG11" s="319" t="s">
        <v>588</v>
      </c>
      <c r="AH11" s="319" t="s">
        <v>589</v>
      </c>
      <c r="AI11" s="319" t="s">
        <v>590</v>
      </c>
      <c r="AJ11" s="319" t="s">
        <v>591</v>
      </c>
      <c r="AK11" s="319" t="s">
        <v>594</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756</v>
      </c>
    </row>
    <row r="35" spans="1:44" s="251" customFormat="1">
      <c r="A35" s="250" t="s">
        <v>748</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720</v>
      </c>
      <c r="G36" s="499">
        <v>466.70600899999999</v>
      </c>
      <c r="H36" s="499">
        <v>394.832787</v>
      </c>
      <c r="I36" s="499">
        <v>454.68913199999997</v>
      </c>
      <c r="J36" s="499">
        <v>454.42544500000002</v>
      </c>
      <c r="K36" s="499">
        <v>444.23985299999998</v>
      </c>
      <c r="L36" s="499">
        <v>440.08721199999997</v>
      </c>
      <c r="M36" s="499">
        <v>447.35079200000001</v>
      </c>
      <c r="N36" s="499">
        <v>452.70209499999999</v>
      </c>
      <c r="O36" s="499">
        <v>456.67362200000002</v>
      </c>
      <c r="P36" s="499">
        <v>458.62900500000001</v>
      </c>
      <c r="Q36" s="499">
        <v>461.96567600000003</v>
      </c>
      <c r="R36" s="499">
        <v>463.53699499999999</v>
      </c>
      <c r="S36" s="499">
        <v>463.25244900000001</v>
      </c>
      <c r="T36" s="499">
        <v>465.26831899999996</v>
      </c>
      <c r="U36" s="499">
        <v>466.23992199999998</v>
      </c>
      <c r="V36" s="499">
        <v>466.077202</v>
      </c>
      <c r="W36" s="499">
        <v>466.37215400000002</v>
      </c>
      <c r="X36" s="499">
        <v>466.26424399999996</v>
      </c>
      <c r="Y36" s="499">
        <v>466.10289</v>
      </c>
      <c r="Z36" s="499">
        <v>463.98463500000003</v>
      </c>
      <c r="AA36" s="499">
        <v>462.46893399999999</v>
      </c>
      <c r="AB36" s="499">
        <v>461.67210399999999</v>
      </c>
      <c r="AC36" s="499">
        <v>461.26215300000001</v>
      </c>
      <c r="AD36" s="499">
        <v>461.032692</v>
      </c>
      <c r="AE36" s="499">
        <v>460.73717499999998</v>
      </c>
      <c r="AF36" s="499">
        <v>460.50507400000004</v>
      </c>
      <c r="AG36" s="499">
        <v>460.05059799999998</v>
      </c>
      <c r="AH36" s="499">
        <v>459.62494700000002</v>
      </c>
      <c r="AI36" s="499">
        <v>459.35051700000002</v>
      </c>
      <c r="AJ36" s="499">
        <v>459.04289999999997</v>
      </c>
      <c r="AK36" s="503">
        <v>0.03</v>
      </c>
      <c r="AL36" s="515" t="s">
        <v>68</v>
      </c>
      <c r="AM36" s="518">
        <v>0.17308319692528407</v>
      </c>
    </row>
    <row r="37" spans="1:44" s="251" customFormat="1">
      <c r="A37" s="501" t="s">
        <v>721</v>
      </c>
      <c r="G37" s="499">
        <v>3.8765020000000003</v>
      </c>
      <c r="H37" s="499">
        <v>2.9012790000000002</v>
      </c>
      <c r="I37" s="499">
        <v>2.014859</v>
      </c>
      <c r="J37" s="499">
        <v>2.0150620000000004</v>
      </c>
      <c r="K37" s="499">
        <v>1.988092</v>
      </c>
      <c r="L37" s="499">
        <v>1.919505</v>
      </c>
      <c r="M37" s="499">
        <v>1.9605079999999999</v>
      </c>
      <c r="N37" s="499">
        <v>1.9991500000000002</v>
      </c>
      <c r="O37" s="499">
        <v>2.0217320000000001</v>
      </c>
      <c r="P37" s="499">
        <v>2.0314860000000001</v>
      </c>
      <c r="Q37" s="499">
        <v>2.0498069999999999</v>
      </c>
      <c r="R37" s="499">
        <v>2.0618590000000001</v>
      </c>
      <c r="S37" s="499">
        <v>2.065544</v>
      </c>
      <c r="T37" s="499">
        <v>2.0542639999999999</v>
      </c>
      <c r="U37" s="499">
        <v>2.0473330000000001</v>
      </c>
      <c r="V37" s="499">
        <v>2.0375070000000002</v>
      </c>
      <c r="W37" s="499">
        <v>2.0314540000000001</v>
      </c>
      <c r="X37" s="499">
        <v>2.0260889999999998</v>
      </c>
      <c r="Y37" s="499">
        <v>2.0263150000000003</v>
      </c>
      <c r="Z37" s="499">
        <v>2.0362960000000001</v>
      </c>
      <c r="AA37" s="499">
        <v>2.0238670000000001</v>
      </c>
      <c r="AB37" s="499">
        <v>2.0177739999999997</v>
      </c>
      <c r="AC37" s="499">
        <v>2.0179869999999998</v>
      </c>
      <c r="AD37" s="499">
        <v>2.0208620000000002</v>
      </c>
      <c r="AE37" s="499">
        <v>2.019288</v>
      </c>
      <c r="AF37" s="499">
        <v>2.0179169999999997</v>
      </c>
      <c r="AG37" s="499">
        <v>2.0172620000000001</v>
      </c>
      <c r="AH37" s="499">
        <v>2.0158770000000001</v>
      </c>
      <c r="AI37" s="499">
        <v>2.0174270000000001</v>
      </c>
      <c r="AJ37" s="499">
        <v>2.0156619999999998</v>
      </c>
      <c r="AK37" s="503">
        <v>-3.7999999999999999E-2</v>
      </c>
      <c r="AL37" s="516" t="s">
        <v>69</v>
      </c>
      <c r="AM37" s="518">
        <v>4.4890311807202786E-2</v>
      </c>
    </row>
    <row r="38" spans="1:44" s="251" customFormat="1">
      <c r="A38" s="501" t="s">
        <v>722</v>
      </c>
      <c r="G38" s="499">
        <v>98.161273999999992</v>
      </c>
      <c r="H38" s="499">
        <v>139.78989000000001</v>
      </c>
      <c r="I38" s="499">
        <v>113.537914</v>
      </c>
      <c r="J38" s="499">
        <v>109.16564200000001</v>
      </c>
      <c r="K38" s="499">
        <v>120.70819400000001</v>
      </c>
      <c r="L38" s="499">
        <v>138.556442</v>
      </c>
      <c r="M38" s="499">
        <v>142.39103699999998</v>
      </c>
      <c r="N38" s="499">
        <v>145.81868</v>
      </c>
      <c r="O38" s="499">
        <v>148.11148800000001</v>
      </c>
      <c r="P38" s="499">
        <v>149.363518</v>
      </c>
      <c r="Q38" s="499">
        <v>146.53295900000001</v>
      </c>
      <c r="R38" s="499">
        <v>148.57765900000001</v>
      </c>
      <c r="S38" s="499">
        <v>154.48199399999999</v>
      </c>
      <c r="T38" s="499">
        <v>153.76928700000002</v>
      </c>
      <c r="U38" s="499">
        <v>153.841148</v>
      </c>
      <c r="V38" s="499">
        <v>162.31950399999999</v>
      </c>
      <c r="W38" s="499">
        <v>165.188816</v>
      </c>
      <c r="X38" s="499">
        <v>164.15516600000001</v>
      </c>
      <c r="Y38" s="499">
        <v>166.37615599999998</v>
      </c>
      <c r="Z38" s="499">
        <v>164.94583900000001</v>
      </c>
      <c r="AA38" s="499">
        <v>174.33541099999999</v>
      </c>
      <c r="AB38" s="499">
        <v>182.836769</v>
      </c>
      <c r="AC38" s="499">
        <v>192.23580899999999</v>
      </c>
      <c r="AD38" s="499">
        <v>199.41075799999999</v>
      </c>
      <c r="AE38" s="499">
        <v>204.90593000000001</v>
      </c>
      <c r="AF38" s="499">
        <v>211.21431000000001</v>
      </c>
      <c r="AG38" s="499">
        <v>216.04297700000001</v>
      </c>
      <c r="AH38" s="499">
        <v>219.38606299999998</v>
      </c>
      <c r="AI38" s="499">
        <v>219.65581499999999</v>
      </c>
      <c r="AJ38" s="499">
        <v>221.488541</v>
      </c>
      <c r="AK38" s="503">
        <v>-4.0000000000000001E-3</v>
      </c>
      <c r="AL38" s="516" t="s">
        <v>76</v>
      </c>
      <c r="AM38" s="518">
        <v>4.9152800504003169E-3</v>
      </c>
    </row>
    <row r="39" spans="1:44" s="251" customFormat="1">
      <c r="A39" s="501" t="s">
        <v>723</v>
      </c>
      <c r="G39" s="499">
        <v>250.515007</v>
      </c>
      <c r="H39" s="499">
        <v>253.48099500000001</v>
      </c>
      <c r="I39" s="499">
        <v>244.28305799999998</v>
      </c>
      <c r="J39" s="499">
        <v>244.729378</v>
      </c>
      <c r="K39" s="499">
        <v>251.80423000000002</v>
      </c>
      <c r="L39" s="499">
        <v>254.32607999999999</v>
      </c>
      <c r="M39" s="499">
        <v>250.32450799999998</v>
      </c>
      <c r="N39" s="499">
        <v>242.270172</v>
      </c>
      <c r="O39" s="499">
        <v>234.157791</v>
      </c>
      <c r="P39" s="499">
        <v>229.315369</v>
      </c>
      <c r="Q39" s="499">
        <v>229.31537600000001</v>
      </c>
      <c r="R39" s="499">
        <v>229.315369</v>
      </c>
      <c r="S39" s="499">
        <v>229.315369</v>
      </c>
      <c r="T39" s="499">
        <v>229.31537600000001</v>
      </c>
      <c r="U39" s="499">
        <v>229.315369</v>
      </c>
      <c r="V39" s="499">
        <v>229.31537600000001</v>
      </c>
      <c r="W39" s="499">
        <v>229.315369</v>
      </c>
      <c r="X39" s="499">
        <v>229.315369</v>
      </c>
      <c r="Y39" s="499">
        <v>229.31537600000001</v>
      </c>
      <c r="Z39" s="499">
        <v>229.31537600000001</v>
      </c>
      <c r="AA39" s="499">
        <v>229.31537600000001</v>
      </c>
      <c r="AB39" s="499">
        <v>229.31537600000001</v>
      </c>
      <c r="AC39" s="499">
        <v>229.315369</v>
      </c>
      <c r="AD39" s="499">
        <v>229.315369</v>
      </c>
      <c r="AE39" s="499">
        <v>229.315369</v>
      </c>
      <c r="AF39" s="499">
        <v>229.315369</v>
      </c>
      <c r="AG39" s="499">
        <v>229.315369</v>
      </c>
      <c r="AH39" s="499">
        <v>229.315369</v>
      </c>
      <c r="AI39" s="499">
        <v>229.315369</v>
      </c>
      <c r="AJ39" s="499">
        <v>229.31537600000001</v>
      </c>
      <c r="AK39" s="503">
        <v>-5.0000000000000001E-3</v>
      </c>
      <c r="AL39" s="516" t="s">
        <v>742</v>
      </c>
      <c r="AM39" s="518">
        <v>1.1578178208362737E-2</v>
      </c>
    </row>
    <row r="40" spans="1:44" s="251" customFormat="1">
      <c r="A40" s="501" t="s">
        <v>724</v>
      </c>
      <c r="G40" s="499">
        <v>1.1216539999999999</v>
      </c>
      <c r="H40" s="499">
        <v>1.1742729999999999</v>
      </c>
      <c r="I40" s="499">
        <v>1.2392019999999999</v>
      </c>
      <c r="J40" s="499">
        <v>1.2401960000000001</v>
      </c>
      <c r="K40" s="499">
        <v>1.242693</v>
      </c>
      <c r="L40" s="499">
        <v>1.247854</v>
      </c>
      <c r="M40" s="499">
        <v>1.2495350000000001</v>
      </c>
      <c r="N40" s="499">
        <v>1.252043</v>
      </c>
      <c r="O40" s="499">
        <v>1.2540789999999999</v>
      </c>
      <c r="P40" s="499">
        <v>1.2553160000000001</v>
      </c>
      <c r="Q40" s="499">
        <v>1.255671</v>
      </c>
      <c r="R40" s="499">
        <v>1.256305</v>
      </c>
      <c r="S40" s="499">
        <v>1.256305</v>
      </c>
      <c r="T40" s="499">
        <v>1.256305</v>
      </c>
      <c r="U40" s="499">
        <v>1.256839</v>
      </c>
      <c r="V40" s="499">
        <v>1.257479</v>
      </c>
      <c r="W40" s="499">
        <v>1.2576700000000001</v>
      </c>
      <c r="X40" s="499">
        <v>1.257825</v>
      </c>
      <c r="Y40" s="499">
        <v>1.258419</v>
      </c>
      <c r="Z40" s="499">
        <v>1.2586060000000001</v>
      </c>
      <c r="AA40" s="499">
        <v>1.2587470000000001</v>
      </c>
      <c r="AB40" s="499">
        <v>1.2594460000000001</v>
      </c>
      <c r="AC40" s="499">
        <v>1.2596080000000001</v>
      </c>
      <c r="AD40" s="499">
        <v>1.260238</v>
      </c>
      <c r="AE40" s="499">
        <v>1.2604759999999999</v>
      </c>
      <c r="AF40" s="499">
        <v>1.26065</v>
      </c>
      <c r="AG40" s="499">
        <v>1.2613179999999999</v>
      </c>
      <c r="AH40" s="499">
        <v>1.261584</v>
      </c>
      <c r="AI40" s="499">
        <v>1.2617670000000001</v>
      </c>
      <c r="AJ40" s="499">
        <v>1.2624420000000001</v>
      </c>
      <c r="AK40" s="503">
        <v>1E-3</v>
      </c>
      <c r="AL40" s="517" t="s">
        <v>225</v>
      </c>
      <c r="AM40" s="518">
        <v>0</v>
      </c>
    </row>
    <row r="41" spans="1:44" s="251" customFormat="1">
      <c r="A41" s="501" t="s">
        <v>725</v>
      </c>
      <c r="G41" s="499">
        <v>26.159147999999998</v>
      </c>
      <c r="H41" s="499">
        <v>26.527506000000002</v>
      </c>
      <c r="I41" s="499">
        <v>32.151673000000002</v>
      </c>
      <c r="J41" s="499">
        <v>33.079904999999997</v>
      </c>
      <c r="K41" s="499">
        <v>33.930774999999997</v>
      </c>
      <c r="L41" s="499">
        <v>34.862210000000005</v>
      </c>
      <c r="M41" s="499">
        <v>38.372319000000005</v>
      </c>
      <c r="N41" s="499">
        <v>41.74973</v>
      </c>
      <c r="O41" s="499">
        <v>41.744782999999998</v>
      </c>
      <c r="P41" s="499">
        <v>42.435341000000001</v>
      </c>
      <c r="Q41" s="499">
        <v>42.959477</v>
      </c>
      <c r="R41" s="499">
        <v>43.643675999999999</v>
      </c>
      <c r="S41" s="499">
        <v>46.549590999999999</v>
      </c>
      <c r="T41" s="499">
        <v>46.692823000000004</v>
      </c>
      <c r="U41" s="499">
        <v>48.034289000000001</v>
      </c>
      <c r="V41" s="499">
        <v>48.235068999999996</v>
      </c>
      <c r="W41" s="499">
        <v>48.209007</v>
      </c>
      <c r="X41" s="499">
        <v>48.586047999999998</v>
      </c>
      <c r="Y41" s="499">
        <v>48.785858000000005</v>
      </c>
      <c r="Z41" s="499">
        <v>50.721764999999998</v>
      </c>
      <c r="AA41" s="499">
        <v>52.061912</v>
      </c>
      <c r="AB41" s="499">
        <v>52.588653999999998</v>
      </c>
      <c r="AC41" s="499">
        <v>52.633077999999998</v>
      </c>
      <c r="AD41" s="499">
        <v>52.997431000000006</v>
      </c>
      <c r="AE41" s="499">
        <v>53.151576999999996</v>
      </c>
      <c r="AF41" s="499">
        <v>53.086759999999998</v>
      </c>
      <c r="AG41" s="499">
        <v>53.204861999999999</v>
      </c>
      <c r="AH41" s="499">
        <v>53.295262000000001</v>
      </c>
      <c r="AI41" s="499">
        <v>53.332768000000002</v>
      </c>
      <c r="AJ41" s="499">
        <v>53.496878000000002</v>
      </c>
      <c r="AK41" s="503">
        <v>2.1000000000000001E-2</v>
      </c>
      <c r="AL41" s="517" t="s">
        <v>379</v>
      </c>
      <c r="AM41" s="518">
        <v>0.138212283199073</v>
      </c>
    </row>
    <row r="42" spans="1:44" s="251" customFormat="1">
      <c r="A42" s="501" t="s">
        <v>726</v>
      </c>
      <c r="G42" s="499">
        <v>0</v>
      </c>
      <c r="H42" s="499">
        <v>0</v>
      </c>
      <c r="I42" s="499">
        <v>0</v>
      </c>
      <c r="J42" s="499">
        <v>0</v>
      </c>
      <c r="K42" s="499">
        <v>8.0227999999999994E-2</v>
      </c>
      <c r="L42" s="499">
        <v>9.2133000000000007E-2</v>
      </c>
      <c r="M42" s="499">
        <v>0.10668800000000001</v>
      </c>
      <c r="N42" s="499">
        <v>0.11908299999999999</v>
      </c>
      <c r="O42" s="499">
        <v>0.12914</v>
      </c>
      <c r="P42" s="499">
        <v>0.14005899999999999</v>
      </c>
      <c r="Q42" s="499">
        <v>0.15401400000000001</v>
      </c>
      <c r="R42" s="499">
        <v>0.170649</v>
      </c>
      <c r="S42" s="499">
        <v>0.18828700000000001</v>
      </c>
      <c r="T42" s="499">
        <v>0.20347299999999999</v>
      </c>
      <c r="U42" s="499">
        <v>0.217555</v>
      </c>
      <c r="V42" s="499">
        <v>0.233436</v>
      </c>
      <c r="W42" s="499">
        <v>0.24860399999999999</v>
      </c>
      <c r="X42" s="499">
        <v>0.26478000000000002</v>
      </c>
      <c r="Y42" s="499">
        <v>0.27862900000000002</v>
      </c>
      <c r="Z42" s="499">
        <v>0.29204999999999998</v>
      </c>
      <c r="AA42" s="499">
        <v>0.30543900000000002</v>
      </c>
      <c r="AB42" s="499">
        <v>0.32067699999999999</v>
      </c>
      <c r="AC42" s="499">
        <v>0.338337</v>
      </c>
      <c r="AD42" s="499">
        <v>0.35491099999999998</v>
      </c>
      <c r="AE42" s="499">
        <v>0.37067499999999998</v>
      </c>
      <c r="AF42" s="499">
        <v>0.38635999999999998</v>
      </c>
      <c r="AG42" s="499">
        <v>0.40147500000000003</v>
      </c>
      <c r="AH42" s="499">
        <v>0.41661700000000002</v>
      </c>
      <c r="AI42" s="499">
        <v>0.43158299999999999</v>
      </c>
      <c r="AJ42" s="499">
        <v>0.44530999999999998</v>
      </c>
      <c r="AK42" s="499" t="s">
        <v>41</v>
      </c>
      <c r="AL42" s="517" t="s">
        <v>743</v>
      </c>
      <c r="AM42" s="518">
        <v>0</v>
      </c>
    </row>
    <row r="43" spans="1:44" s="251" customFormat="1">
      <c r="A43" s="502" t="s">
        <v>727</v>
      </c>
      <c r="G43" s="500">
        <v>846.53961200000003</v>
      </c>
      <c r="H43" s="500">
        <v>818.706726</v>
      </c>
      <c r="I43" s="500">
        <v>847.91586299999994</v>
      </c>
      <c r="J43" s="500">
        <v>844.65560900000003</v>
      </c>
      <c r="K43" s="500">
        <v>853.99410999999998</v>
      </c>
      <c r="L43" s="500">
        <v>871.09140100000002</v>
      </c>
      <c r="M43" s="500">
        <v>881.75540100000001</v>
      </c>
      <c r="N43" s="500">
        <v>885.91094999999996</v>
      </c>
      <c r="O43" s="500">
        <v>884.09268100000008</v>
      </c>
      <c r="P43" s="500">
        <v>883.170075</v>
      </c>
      <c r="Q43" s="500">
        <v>884.23303299999998</v>
      </c>
      <c r="R43" s="500">
        <v>888.56247000000008</v>
      </c>
      <c r="S43" s="500">
        <v>897.10949700000003</v>
      </c>
      <c r="T43" s="500">
        <v>898.559845</v>
      </c>
      <c r="U43" s="500">
        <v>900.95248400000003</v>
      </c>
      <c r="V43" s="500">
        <v>909.47561699999994</v>
      </c>
      <c r="W43" s="500">
        <v>912.62301600000001</v>
      </c>
      <c r="X43" s="500">
        <v>911.869507</v>
      </c>
      <c r="Y43" s="500">
        <v>914.14361600000007</v>
      </c>
      <c r="Z43" s="500">
        <v>912.55459599999995</v>
      </c>
      <c r="AA43" s="500">
        <v>921.76971500000002</v>
      </c>
      <c r="AB43" s="500">
        <v>930.01083399999993</v>
      </c>
      <c r="AC43" s="500">
        <v>939.06237800000008</v>
      </c>
      <c r="AD43" s="500">
        <v>946.39227300000005</v>
      </c>
      <c r="AE43" s="500">
        <v>951.76043700000002</v>
      </c>
      <c r="AF43" s="500">
        <v>957.78640700000005</v>
      </c>
      <c r="AG43" s="500">
        <v>962.29388399999993</v>
      </c>
      <c r="AH43" s="500">
        <v>965.31582600000002</v>
      </c>
      <c r="AI43" s="500">
        <v>965.36529599999994</v>
      </c>
      <c r="AJ43" s="500">
        <v>967.06710799999996</v>
      </c>
      <c r="AK43" s="504">
        <v>1E-3</v>
      </c>
      <c r="AL43" s="517" t="s">
        <v>744</v>
      </c>
      <c r="AM43" s="518">
        <v>8.7842039568900834E-4</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0.12248995115107437</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582</v>
      </c>
      <c r="AB47" s="323" t="s">
        <v>583</v>
      </c>
      <c r="AC47" s="323" t="s">
        <v>584</v>
      </c>
      <c r="AD47" s="323" t="s">
        <v>585</v>
      </c>
      <c r="AE47" s="323" t="s">
        <v>586</v>
      </c>
      <c r="AF47" s="323" t="s">
        <v>587</v>
      </c>
      <c r="AG47" s="323" t="s">
        <v>588</v>
      </c>
      <c r="AH47" s="323" t="s">
        <v>589</v>
      </c>
      <c r="AI47" s="323" t="s">
        <v>590</v>
      </c>
      <c r="AJ47" s="323" t="s">
        <v>591</v>
      </c>
      <c r="AK47" s="323" t="s">
        <v>594</v>
      </c>
    </row>
    <row r="48" spans="1:44" s="255" customFormat="1">
      <c r="A48" s="254" t="s">
        <v>755</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752</v>
      </c>
      <c r="AN48" s="255">
        <v>2006</v>
      </c>
      <c r="AO48" s="255">
        <v>2007</v>
      </c>
      <c r="AP48" s="255">
        <v>2008</v>
      </c>
      <c r="AQ48" s="255">
        <v>2009</v>
      </c>
      <c r="AR48" s="255">
        <v>2010</v>
      </c>
    </row>
    <row r="49" spans="1:44" s="255" customFormat="1">
      <c r="A49" s="254" t="s">
        <v>68</v>
      </c>
      <c r="B49" s="505">
        <f>AN51</f>
        <v>91.472999999999999</v>
      </c>
      <c r="C49" s="505">
        <f t="shared" ref="C49:F49" si="0">AO51</f>
        <v>91.866</v>
      </c>
      <c r="D49" s="505">
        <f t="shared" si="0"/>
        <v>89.113</v>
      </c>
      <c r="E49" s="505">
        <f t="shared" si="0"/>
        <v>68.08</v>
      </c>
      <c r="F49" s="505">
        <f t="shared" si="0"/>
        <v>78.147999999999996</v>
      </c>
      <c r="G49" s="484">
        <f t="shared" ref="G49:AJ49" si="1">G36*$AM36</f>
        <v>80.778968061960398</v>
      </c>
      <c r="H49" s="484">
        <f t="shared" si="1"/>
        <v>68.338921024879738</v>
      </c>
      <c r="I49" s="484">
        <f t="shared" si="1"/>
        <v>78.699048573742473</v>
      </c>
      <c r="J49" s="484">
        <f t="shared" si="1"/>
        <v>78.653408784794848</v>
      </c>
      <c r="K49" s="484">
        <f t="shared" si="1"/>
        <v>76.890453958858245</v>
      </c>
      <c r="L49" s="484">
        <f t="shared" si="1"/>
        <v>76.171701578895238</v>
      </c>
      <c r="M49" s="484">
        <f t="shared" si="1"/>
        <v>77.428905226417797</v>
      </c>
      <c r="N49" s="484">
        <f t="shared" si="1"/>
        <v>78.35512585737365</v>
      </c>
      <c r="O49" s="484">
        <f t="shared" si="1"/>
        <v>79.042530447208748</v>
      </c>
      <c r="P49" s="484">
        <f t="shared" si="1"/>
        <v>79.380974388062086</v>
      </c>
      <c r="Q49" s="484">
        <f t="shared" si="1"/>
        <v>79.958496071829984</v>
      </c>
      <c r="R49" s="484">
        <f t="shared" si="1"/>
        <v>80.23046498773941</v>
      </c>
      <c r="S49" s="484">
        <f t="shared" si="1"/>
        <v>80.181214856387115</v>
      </c>
      <c r="T49" s="484">
        <f t="shared" si="1"/>
        <v>80.530128080572879</v>
      </c>
      <c r="U49" s="484">
        <f t="shared" si="1"/>
        <v>80.698296233955077</v>
      </c>
      <c r="V49" s="484">
        <f t="shared" si="1"/>
        <v>80.670132136151395</v>
      </c>
      <c r="W49" s="484">
        <f t="shared" si="1"/>
        <v>80.721183371250916</v>
      </c>
      <c r="X49" s="484">
        <f t="shared" si="1"/>
        <v>80.702505963470699</v>
      </c>
      <c r="Y49" s="484">
        <f t="shared" si="1"/>
        <v>80.674578297314014</v>
      </c>
      <c r="Z49" s="484">
        <f t="shared" si="1"/>
        <v>80.307943950011051</v>
      </c>
      <c r="AA49" s="484">
        <f t="shared" si="1"/>
        <v>80.045601575348201</v>
      </c>
      <c r="AB49" s="484">
        <f t="shared" si="1"/>
        <v>79.907683691542218</v>
      </c>
      <c r="AC49" s="484">
        <f t="shared" si="1"/>
        <v>79.836728061879512</v>
      </c>
      <c r="AD49" s="484">
        <f t="shared" si="1"/>
        <v>79.797012218429842</v>
      </c>
      <c r="AE49" s="484">
        <f t="shared" si="1"/>
        <v>79.745863191324062</v>
      </c>
      <c r="AF49" s="484">
        <f t="shared" si="1"/>
        <v>79.705690408234517</v>
      </c>
      <c r="AG49" s="484">
        <f t="shared" si="1"/>
        <v>79.627028249228687</v>
      </c>
      <c r="AH49" s="484">
        <f t="shared" si="1"/>
        <v>79.55335521337426</v>
      </c>
      <c r="AI49" s="484">
        <f t="shared" si="1"/>
        <v>79.505855991642051</v>
      </c>
      <c r="AJ49" s="484">
        <f t="shared" si="1"/>
        <v>79.452612657853479</v>
      </c>
      <c r="AK49"/>
    </row>
    <row r="50" spans="1:44" s="255" customFormat="1">
      <c r="A50" s="254" t="s">
        <v>69</v>
      </c>
      <c r="B50" s="505">
        <f t="shared" ref="B50:B51" si="2">AN52</f>
        <v>0.17499999999999999</v>
      </c>
      <c r="C50" s="505">
        <f t="shared" ref="C50:C51" si="3">AO52</f>
        <v>0.2</v>
      </c>
      <c r="D50" s="505">
        <f t="shared" ref="D50:D51" si="4">AP52</f>
        <v>0.13700000000000001</v>
      </c>
      <c r="E50" s="505">
        <f t="shared" ref="E50:E51" si="5">AQ52</f>
        <v>0.16900000000000001</v>
      </c>
      <c r="F50" s="505">
        <f t="shared" ref="F50:F51" si="6">AR52</f>
        <v>0.155</v>
      </c>
      <c r="G50" s="484">
        <f t="shared" ref="G50:AJ50" si="7">G37*$AM37</f>
        <v>0.17401738350124524</v>
      </c>
      <c r="H50" s="484">
        <f t="shared" si="7"/>
        <v>0.13023931894968949</v>
      </c>
      <c r="I50" s="484">
        <f t="shared" si="7"/>
        <v>9.0447648757548793E-2</v>
      </c>
      <c r="J50" s="484">
        <f t="shared" si="7"/>
        <v>9.045676149084568E-2</v>
      </c>
      <c r="K50" s="484">
        <f t="shared" si="7"/>
        <v>8.9246069781405396E-2</v>
      </c>
      <c r="L50" s="484">
        <f t="shared" si="7"/>
        <v>8.6167177965484787E-2</v>
      </c>
      <c r="M50" s="484">
        <f t="shared" si="7"/>
        <v>8.8007815420515514E-2</v>
      </c>
      <c r="N50" s="484">
        <f t="shared" si="7"/>
        <v>8.9742466849369457E-2</v>
      </c>
      <c r="O50" s="484">
        <f t="shared" si="7"/>
        <v>9.075617987059971E-2</v>
      </c>
      <c r="P50" s="484">
        <f t="shared" si="7"/>
        <v>9.1194039971967164E-2</v>
      </c>
      <c r="Q50" s="484">
        <f t="shared" si="7"/>
        <v>9.2016475374586917E-2</v>
      </c>
      <c r="R50" s="484">
        <f t="shared" si="7"/>
        <v>9.2557493412487341E-2</v>
      </c>
      <c r="S50" s="484">
        <f t="shared" si="7"/>
        <v>9.2722914211496879E-2</v>
      </c>
      <c r="T50" s="484">
        <f t="shared" si="7"/>
        <v>9.2216551494311613E-2</v>
      </c>
      <c r="U50" s="484">
        <f t="shared" si="7"/>
        <v>9.1905416743175899E-2</v>
      </c>
      <c r="V50" s="484">
        <f t="shared" si="7"/>
        <v>9.1464324539358335E-2</v>
      </c>
      <c r="W50" s="484">
        <f t="shared" si="7"/>
        <v>9.1192603481989334E-2</v>
      </c>
      <c r="X50" s="484">
        <f t="shared" si="7"/>
        <v>9.0951766959143671E-2</v>
      </c>
      <c r="Y50" s="484">
        <f t="shared" si="7"/>
        <v>9.0961912169612122E-2</v>
      </c>
      <c r="Z50" s="484">
        <f t="shared" si="7"/>
        <v>9.1409962371759815E-2</v>
      </c>
      <c r="AA50" s="484">
        <f t="shared" si="7"/>
        <v>9.0852020686308085E-2</v>
      </c>
      <c r="AB50" s="484">
        <f t="shared" si="7"/>
        <v>9.0578504016466777E-2</v>
      </c>
      <c r="AC50" s="484">
        <f t="shared" si="7"/>
        <v>9.0588065652881716E-2</v>
      </c>
      <c r="AD50" s="484">
        <f t="shared" si="7"/>
        <v>9.0717125299327447E-2</v>
      </c>
      <c r="AE50" s="484">
        <f t="shared" si="7"/>
        <v>9.0646467948542891E-2</v>
      </c>
      <c r="AF50" s="484">
        <f t="shared" si="7"/>
        <v>9.0584923331055209E-2</v>
      </c>
      <c r="AG50" s="484">
        <f t="shared" si="7"/>
        <v>9.0555520176821516E-2</v>
      </c>
      <c r="AH50" s="484">
        <f t="shared" si="7"/>
        <v>9.0493347094968535E-2</v>
      </c>
      <c r="AI50" s="484">
        <f t="shared" si="7"/>
        <v>9.0562927078269698E-2</v>
      </c>
      <c r="AJ50" s="484">
        <f t="shared" si="7"/>
        <v>9.0483695677929979E-2</v>
      </c>
      <c r="AK50"/>
      <c r="AM50" s="255" t="s">
        <v>749</v>
      </c>
      <c r="AN50" s="255">
        <v>92.063000000000002</v>
      </c>
      <c r="AO50" s="255">
        <v>92.510999999999996</v>
      </c>
      <c r="AP50" s="255">
        <v>89.480999999999995</v>
      </c>
      <c r="AQ50" s="255">
        <v>68.394999999999996</v>
      </c>
      <c r="AR50" s="255">
        <v>78.481999999999999</v>
      </c>
    </row>
    <row r="51" spans="1:44" s="255" customFormat="1">
      <c r="A51" s="254" t="s">
        <v>76</v>
      </c>
      <c r="B51" s="505">
        <f t="shared" si="2"/>
        <v>0.36199999999999999</v>
      </c>
      <c r="C51" s="505">
        <f t="shared" si="3"/>
        <v>0.38900000000000001</v>
      </c>
      <c r="D51" s="505">
        <f t="shared" si="4"/>
        <v>0.18</v>
      </c>
      <c r="E51" s="505">
        <f t="shared" si="5"/>
        <v>0.109</v>
      </c>
      <c r="F51" s="505">
        <f t="shared" si="6"/>
        <v>0.14000000000000001</v>
      </c>
      <c r="G51" s="484">
        <f t="shared" ref="G51:AJ51" si="8">G38*$AM38</f>
        <v>0.48249015181407928</v>
      </c>
      <c r="H51" s="484">
        <f t="shared" si="8"/>
        <v>0.68710645756465483</v>
      </c>
      <c r="I51" s="484">
        <f t="shared" si="8"/>
        <v>0.55807064364826686</v>
      </c>
      <c r="J51" s="484">
        <f t="shared" si="8"/>
        <v>0.53657970231174301</v>
      </c>
      <c r="K51" s="484">
        <f t="shared" si="8"/>
        <v>0.59331457788805131</v>
      </c>
      <c r="L51" s="484">
        <f t="shared" si="8"/>
        <v>0.68104371521704865</v>
      </c>
      <c r="M51" s="484">
        <f t="shared" si="8"/>
        <v>0.69989182352191326</v>
      </c>
      <c r="N51" s="484">
        <f t="shared" si="8"/>
        <v>0.71673964877970764</v>
      </c>
      <c r="O51" s="484">
        <f t="shared" si="8"/>
        <v>0.72800944220150599</v>
      </c>
      <c r="P51" s="484">
        <f t="shared" si="8"/>
        <v>0.73416352028300869</v>
      </c>
      <c r="Q51" s="484">
        <f t="shared" si="8"/>
        <v>0.72025053009882756</v>
      </c>
      <c r="R51" s="484">
        <f t="shared" si="8"/>
        <v>0.73030080321788116</v>
      </c>
      <c r="S51" s="484">
        <f t="shared" si="8"/>
        <v>0.75932226325426133</v>
      </c>
      <c r="T51" s="484">
        <f t="shared" si="8"/>
        <v>0.75581910875538094</v>
      </c>
      <c r="U51" s="484">
        <f t="shared" si="8"/>
        <v>0.75617232569508264</v>
      </c>
      <c r="V51" s="484">
        <f t="shared" si="8"/>
        <v>0.79784581980207436</v>
      </c>
      <c r="W51" s="484">
        <f t="shared" si="8"/>
        <v>0.81194929183404874</v>
      </c>
      <c r="X51" s="484">
        <f t="shared" si="8"/>
        <v>0.80686861260995246</v>
      </c>
      <c r="Y51" s="484">
        <f t="shared" si="8"/>
        <v>0.81778540044909087</v>
      </c>
      <c r="Z51" s="484">
        <f t="shared" si="8"/>
        <v>0.81075499183324262</v>
      </c>
      <c r="AA51" s="484">
        <f t="shared" si="8"/>
        <v>0.85690736776663989</v>
      </c>
      <c r="AB51" s="484">
        <f t="shared" si="8"/>
        <v>0.89869392314535113</v>
      </c>
      <c r="AC51" s="484">
        <f t="shared" si="8"/>
        <v>0.9448928369502656</v>
      </c>
      <c r="AD51" s="484">
        <f t="shared" si="8"/>
        <v>0.98015972063260537</v>
      </c>
      <c r="AE51" s="484">
        <f t="shared" si="8"/>
        <v>1.007170029937724</v>
      </c>
      <c r="AF51" s="484">
        <f t="shared" si="8"/>
        <v>1.0381774843020681</v>
      </c>
      <c r="AG51" s="484">
        <f t="shared" si="8"/>
        <v>1.0619117348771945</v>
      </c>
      <c r="AH51" s="484">
        <f t="shared" si="8"/>
        <v>1.0783439387997671</v>
      </c>
      <c r="AI51" s="484">
        <f t="shared" si="8"/>
        <v>1.0796698454239226</v>
      </c>
      <c r="AJ51" s="484">
        <f t="shared" si="8"/>
        <v>1.0886782069695726</v>
      </c>
      <c r="AK51"/>
      <c r="AM51" s="255" t="s">
        <v>68</v>
      </c>
      <c r="AN51" s="255">
        <v>91.472999999999999</v>
      </c>
      <c r="AO51" s="255">
        <v>91.866</v>
      </c>
      <c r="AP51" s="255">
        <v>89.113</v>
      </c>
      <c r="AQ51" s="255">
        <v>68.08</v>
      </c>
      <c r="AR51" s="255">
        <v>78.147999999999996</v>
      </c>
    </row>
    <row r="52" spans="1:44" s="255" customFormat="1">
      <c r="A52" s="254" t="s">
        <v>71</v>
      </c>
      <c r="B52" s="506">
        <f>AN55</f>
        <v>0</v>
      </c>
      <c r="C52" s="506">
        <f t="shared" ref="C52:F52" si="9">AO55</f>
        <v>0</v>
      </c>
      <c r="D52" s="506">
        <f t="shared" si="9"/>
        <v>0</v>
      </c>
      <c r="E52" s="506">
        <f t="shared" si="9"/>
        <v>0</v>
      </c>
      <c r="F52" s="506">
        <f t="shared" si="9"/>
        <v>0</v>
      </c>
      <c r="G52" s="484">
        <f>G39*$AM40</f>
        <v>0</v>
      </c>
      <c r="H52" s="484">
        <f t="shared" ref="H52:AJ52" si="10">H39*$AM40</f>
        <v>0</v>
      </c>
      <c r="I52" s="484">
        <f t="shared" si="10"/>
        <v>0</v>
      </c>
      <c r="J52" s="484">
        <f t="shared" si="10"/>
        <v>0</v>
      </c>
      <c r="K52" s="484">
        <f t="shared" si="10"/>
        <v>0</v>
      </c>
      <c r="L52" s="484">
        <f t="shared" si="10"/>
        <v>0</v>
      </c>
      <c r="M52" s="484">
        <f t="shared" si="10"/>
        <v>0</v>
      </c>
      <c r="N52" s="484">
        <f t="shared" si="10"/>
        <v>0</v>
      </c>
      <c r="O52" s="484">
        <f t="shared" si="10"/>
        <v>0</v>
      </c>
      <c r="P52" s="484">
        <f t="shared" si="10"/>
        <v>0</v>
      </c>
      <c r="Q52" s="484">
        <f t="shared" si="10"/>
        <v>0</v>
      </c>
      <c r="R52" s="484">
        <f t="shared" si="10"/>
        <v>0</v>
      </c>
      <c r="S52" s="484">
        <f t="shared" si="10"/>
        <v>0</v>
      </c>
      <c r="T52" s="484">
        <f t="shared" si="10"/>
        <v>0</v>
      </c>
      <c r="U52" s="484">
        <f t="shared" si="10"/>
        <v>0</v>
      </c>
      <c r="V52" s="484">
        <f t="shared" si="10"/>
        <v>0</v>
      </c>
      <c r="W52" s="484">
        <f t="shared" si="10"/>
        <v>0</v>
      </c>
      <c r="X52" s="484">
        <f t="shared" si="10"/>
        <v>0</v>
      </c>
      <c r="Y52" s="484">
        <f t="shared" si="10"/>
        <v>0</v>
      </c>
      <c r="Z52" s="484">
        <f t="shared" si="10"/>
        <v>0</v>
      </c>
      <c r="AA52" s="484">
        <f t="shared" si="10"/>
        <v>0</v>
      </c>
      <c r="AB52" s="484">
        <f t="shared" si="10"/>
        <v>0</v>
      </c>
      <c r="AC52" s="484">
        <f t="shared" si="10"/>
        <v>0</v>
      </c>
      <c r="AD52" s="484">
        <f t="shared" si="10"/>
        <v>0</v>
      </c>
      <c r="AE52" s="484">
        <f t="shared" si="10"/>
        <v>0</v>
      </c>
      <c r="AF52" s="484">
        <f t="shared" si="10"/>
        <v>0</v>
      </c>
      <c r="AG52" s="484">
        <f t="shared" si="10"/>
        <v>0</v>
      </c>
      <c r="AH52" s="484">
        <f t="shared" si="10"/>
        <v>0</v>
      </c>
      <c r="AI52" s="484">
        <f t="shared" si="10"/>
        <v>0</v>
      </c>
      <c r="AJ52" s="484">
        <f t="shared" si="10"/>
        <v>0</v>
      </c>
      <c r="AK52"/>
      <c r="AM52" s="255" t="s">
        <v>69</v>
      </c>
      <c r="AN52" s="255">
        <v>0.17499999999999999</v>
      </c>
      <c r="AO52" s="255">
        <v>0.2</v>
      </c>
      <c r="AP52" s="255">
        <v>0.13700000000000001</v>
      </c>
      <c r="AQ52" s="255">
        <v>0.16900000000000001</v>
      </c>
      <c r="AR52" s="255">
        <v>0.155</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746</v>
      </c>
      <c r="AN53" s="255">
        <v>0.36199999999999999</v>
      </c>
      <c r="AO53" s="255">
        <v>0.38900000000000001</v>
      </c>
      <c r="AP53" s="255">
        <v>0.18</v>
      </c>
      <c r="AQ53" s="255">
        <v>0.109</v>
      </c>
      <c r="AR53" s="255">
        <v>0.14000000000000001</v>
      </c>
    </row>
    <row r="54" spans="1:44" s="255" customFormat="1">
      <c r="A54" s="254" t="s">
        <v>628</v>
      </c>
      <c r="B54" s="506">
        <f>AN56</f>
        <v>1.746</v>
      </c>
      <c r="C54" s="506">
        <f t="shared" ref="C54:F54" si="11">AO56</f>
        <v>1.4219999999999999</v>
      </c>
      <c r="D54" s="506">
        <f t="shared" si="11"/>
        <v>1.64</v>
      </c>
      <c r="E54" s="506">
        <f t="shared" si="11"/>
        <v>2.3879999999999999</v>
      </c>
      <c r="F54" s="506">
        <f t="shared" si="11"/>
        <v>2.3069999999999999</v>
      </c>
      <c r="G54" s="484">
        <f>EIA_RE_aeo2014!G79</f>
        <v>5.1890937291198478</v>
      </c>
      <c r="H54" s="484">
        <f>EIA_RE_aeo2014!H79</f>
        <v>5.3109990015582706</v>
      </c>
      <c r="I54" s="484">
        <f>EIA_RE_aeo2014!I79</f>
        <v>6.3211713283798758</v>
      </c>
      <c r="J54" s="484">
        <f>EIA_RE_aeo2014!J79</f>
        <v>6.477889248376119</v>
      </c>
      <c r="K54" s="484">
        <f>EIA_RE_aeo2014!K79</f>
        <v>6.6435004272628557</v>
      </c>
      <c r="L54" s="484">
        <f>EIA_RE_aeo2014!L79</f>
        <v>6.7122240798947619</v>
      </c>
      <c r="M54" s="484">
        <f>EIA_RE_aeo2014!M79</f>
        <v>6.9552298416808265</v>
      </c>
      <c r="N54" s="484">
        <f>EIA_RE_aeo2014!N79</f>
        <v>6.9552170711933261</v>
      </c>
      <c r="O54" s="484">
        <f>EIA_RE_aeo2014!O79</f>
        <v>6.9547825316045762</v>
      </c>
      <c r="P54" s="484">
        <f>EIA_RE_aeo2014!P79</f>
        <v>6.9563538900966151</v>
      </c>
      <c r="Q54" s="484">
        <f>EIA_RE_aeo2014!Q79</f>
        <v>6.9888923060430299</v>
      </c>
      <c r="R54" s="484">
        <f>EIA_RE_aeo2014!R79</f>
        <v>6.9895140555267812</v>
      </c>
      <c r="S54" s="484">
        <f>EIA_RE_aeo2014!S79</f>
        <v>7.1026483494283319</v>
      </c>
      <c r="T54" s="484">
        <f>EIA_RE_aeo2014!T79</f>
        <v>7.105380549773332</v>
      </c>
      <c r="U54" s="484">
        <f>EIA_RE_aeo2014!U79</f>
        <v>7.1095223415345821</v>
      </c>
      <c r="V54" s="484">
        <f>EIA_RE_aeo2014!V79</f>
        <v>7.1156893257695817</v>
      </c>
      <c r="W54" s="484">
        <f>EIA_RE_aeo2014!W79</f>
        <v>7.1224575528895819</v>
      </c>
      <c r="X54" s="484">
        <f>EIA_RE_aeo2014!X79</f>
        <v>7.1471623348066968</v>
      </c>
      <c r="Y54" s="484">
        <f>EIA_RE_aeo2014!Y79</f>
        <v>7.1541215211554476</v>
      </c>
      <c r="Z54" s="484">
        <f>EIA_RE_aeo2014!Z79</f>
        <v>7.1740546516044734</v>
      </c>
      <c r="AA54" s="484">
        <f>EIA_RE_aeo2014!AA79</f>
        <v>7.2152851714018027</v>
      </c>
      <c r="AB54" s="484">
        <f>EIA_RE_aeo2014!AB79</f>
        <v>7.2519415222541657</v>
      </c>
      <c r="AC54" s="484">
        <f>EIA_RE_aeo2014!AC79</f>
        <v>7.2640592385629157</v>
      </c>
      <c r="AD54" s="484">
        <f>EIA_RE_aeo2014!AD79</f>
        <v>7.3252591945976917</v>
      </c>
      <c r="AE54" s="484">
        <f>EIA_RE_aeo2014!AE79</f>
        <v>7.3756111630527563</v>
      </c>
      <c r="AF54" s="484">
        <f>EIA_RE_aeo2014!AF79</f>
        <v>7.3992088512404566</v>
      </c>
      <c r="AG54" s="484">
        <f>EIA_RE_aeo2014!AG79</f>
        <v>7.4246351635129564</v>
      </c>
      <c r="AH54" s="484">
        <f>EIA_RE_aeo2014!AH79</f>
        <v>7.4437775037654568</v>
      </c>
      <c r="AI54" s="484">
        <f>EIA_RE_aeo2014!AI79</f>
        <v>7.4825469077517059</v>
      </c>
      <c r="AJ54" s="484">
        <f>EIA_RE_aeo2014!AJ79</f>
        <v>7.5367118210117061</v>
      </c>
      <c r="AK54"/>
      <c r="AM54" s="255" t="s">
        <v>750</v>
      </c>
      <c r="AN54" s="255">
        <v>5.2999999999999999E-2</v>
      </c>
      <c r="AO54" s="255">
        <v>5.6000000000000001E-2</v>
      </c>
      <c r="AP54" s="255">
        <v>0.05</v>
      </c>
      <c r="AQ54" s="255">
        <v>3.5999999999999997E-2</v>
      </c>
      <c r="AR54" s="255">
        <v>0.04</v>
      </c>
    </row>
    <row r="55" spans="1:44" s="255" customFormat="1">
      <c r="A55" s="254" t="s">
        <v>629</v>
      </c>
      <c r="B55" s="506">
        <f>AN58</f>
        <v>6.0000000000000001E-3</v>
      </c>
      <c r="C55" s="506">
        <f t="shared" ref="C55:F55" si="12">AO58</f>
        <v>0</v>
      </c>
      <c r="D55" s="506">
        <f t="shared" si="12"/>
        <v>2E-3</v>
      </c>
      <c r="E55" s="506">
        <f t="shared" si="12"/>
        <v>0</v>
      </c>
      <c r="F55" s="506">
        <f t="shared" si="12"/>
        <v>1E-3</v>
      </c>
      <c r="G55" s="484">
        <f>G40*$AM43</f>
        <v>9.8528375050615895E-4</v>
      </c>
      <c r="H55" s="484">
        <f t="shared" ref="H55:AJ55" si="13">H40*$AM43</f>
        <v>1.0315053533069187E-3</v>
      </c>
      <c r="I55" s="484">
        <f t="shared" si="13"/>
        <v>1.0885403111786105E-3</v>
      </c>
      <c r="J55" s="484">
        <f t="shared" si="13"/>
        <v>1.0894134610519254E-3</v>
      </c>
      <c r="K55" s="484">
        <f t="shared" si="13"/>
        <v>1.0916068767799609E-3</v>
      </c>
      <c r="L55" s="484">
        <f t="shared" si="13"/>
        <v>1.0961404044421118E-3</v>
      </c>
      <c r="M55" s="484">
        <f t="shared" si="13"/>
        <v>1.097617029127265E-3</v>
      </c>
      <c r="N55" s="484">
        <f t="shared" si="13"/>
        <v>1.099820107479653E-3</v>
      </c>
      <c r="O55" s="484">
        <f t="shared" si="13"/>
        <v>1.1016085714052758E-3</v>
      </c>
      <c r="P55" s="484">
        <f t="shared" si="13"/>
        <v>1.1026951774347432E-3</v>
      </c>
      <c r="Q55" s="484">
        <f t="shared" si="13"/>
        <v>1.1030070166752127E-3</v>
      </c>
      <c r="R55" s="484">
        <f t="shared" si="13"/>
        <v>1.1035639352060796E-3</v>
      </c>
      <c r="S55" s="484">
        <f t="shared" si="13"/>
        <v>1.1035639352060796E-3</v>
      </c>
      <c r="T55" s="484">
        <f t="shared" si="13"/>
        <v>1.1035639352060796E-3</v>
      </c>
      <c r="U55" s="484">
        <f t="shared" si="13"/>
        <v>1.1040330116973776E-3</v>
      </c>
      <c r="V55" s="484">
        <f t="shared" si="13"/>
        <v>1.1045952007506185E-3</v>
      </c>
      <c r="W55" s="484">
        <f t="shared" si="13"/>
        <v>1.1047629790461953E-3</v>
      </c>
      <c r="X55" s="484">
        <f t="shared" si="13"/>
        <v>1.1048991342075269E-3</v>
      </c>
      <c r="Y55" s="484">
        <f t="shared" si="13"/>
        <v>1.1054209159225661E-3</v>
      </c>
      <c r="Z55" s="484">
        <f t="shared" si="13"/>
        <v>1.1055851805365602E-3</v>
      </c>
      <c r="AA55" s="484">
        <f t="shared" si="13"/>
        <v>1.1057090378123523E-3</v>
      </c>
      <c r="AB55" s="484">
        <f t="shared" si="13"/>
        <v>1.1063230536689389E-3</v>
      </c>
      <c r="AC55" s="484">
        <f t="shared" si="13"/>
        <v>1.1064653577730404E-3</v>
      </c>
      <c r="AD55" s="484">
        <f t="shared" si="13"/>
        <v>1.1070187626223244E-3</v>
      </c>
      <c r="AE55" s="484">
        <f t="shared" si="13"/>
        <v>1.1072278266764984E-3</v>
      </c>
      <c r="AF55" s="484">
        <f t="shared" si="13"/>
        <v>1.1073806718253484E-3</v>
      </c>
      <c r="AG55" s="484">
        <f t="shared" si="13"/>
        <v>1.1079674566496687E-3</v>
      </c>
      <c r="AH55" s="484">
        <f t="shared" si="13"/>
        <v>1.108201116474922E-3</v>
      </c>
      <c r="AI55" s="484">
        <f t="shared" si="13"/>
        <v>1.108361867407333E-3</v>
      </c>
      <c r="AJ55" s="484">
        <f t="shared" si="13"/>
        <v>1.1089548011744231E-3</v>
      </c>
      <c r="AK55"/>
      <c r="AM55" s="255" t="s">
        <v>225</v>
      </c>
      <c r="AN55" s="255">
        <v>0</v>
      </c>
      <c r="AO55" s="255">
        <v>0</v>
      </c>
      <c r="AP55" s="255">
        <v>0</v>
      </c>
      <c r="AQ55" s="255">
        <v>0</v>
      </c>
      <c r="AR55" s="255">
        <v>0</v>
      </c>
    </row>
    <row r="56" spans="1:44" s="255" customFormat="1">
      <c r="A56" s="254" t="s">
        <v>82</v>
      </c>
      <c r="B56" s="506">
        <f>AN59</f>
        <v>93.816000000000003</v>
      </c>
      <c r="C56" s="506">
        <f t="shared" ref="C56" si="14">AO59</f>
        <v>93.933000000000007</v>
      </c>
      <c r="D56" s="506">
        <f t="shared" ref="D56" si="15">AP59</f>
        <v>91.123000000000005</v>
      </c>
      <c r="E56" s="506">
        <f t="shared" ref="E56" si="16">AQ59</f>
        <v>70.783000000000001</v>
      </c>
      <c r="F56" s="506">
        <f t="shared" ref="F56" si="17">AR59</f>
        <v>80.789000000000001</v>
      </c>
      <c r="G56" s="526">
        <f>G58</f>
        <v>86.625554610146082</v>
      </c>
      <c r="H56" s="526">
        <f t="shared" ref="H56:AJ56" si="18">H58</f>
        <v>74.468297308305665</v>
      </c>
      <c r="I56" s="526">
        <f t="shared" si="18"/>
        <v>85.669826734839333</v>
      </c>
      <c r="J56" s="526">
        <f t="shared" si="18"/>
        <v>85.759423910434592</v>
      </c>
      <c r="K56" s="526">
        <f t="shared" si="18"/>
        <v>84.217606640667341</v>
      </c>
      <c r="L56" s="526">
        <f t="shared" si="18"/>
        <v>83.65223269237697</v>
      </c>
      <c r="M56" s="526">
        <f t="shared" si="18"/>
        <v>85.173132324070181</v>
      </c>
      <c r="N56" s="526">
        <f t="shared" si="18"/>
        <v>86.117924864303546</v>
      </c>
      <c r="O56" s="526">
        <f t="shared" si="18"/>
        <v>86.817180209456836</v>
      </c>
      <c r="P56" s="526">
        <f t="shared" si="18"/>
        <v>87.163788533591102</v>
      </c>
      <c r="Q56" s="526">
        <f t="shared" si="18"/>
        <v>87.760758390363108</v>
      </c>
      <c r="R56" s="526">
        <f t="shared" si="18"/>
        <v>88.043940903831768</v>
      </c>
      <c r="S56" s="526">
        <f t="shared" si="18"/>
        <v>88.137011947216408</v>
      </c>
      <c r="T56" s="526">
        <f t="shared" si="18"/>
        <v>88.484647854531104</v>
      </c>
      <c r="U56" s="526">
        <f t="shared" si="18"/>
        <v>88.657000350939612</v>
      </c>
      <c r="V56" s="526">
        <f t="shared" si="18"/>
        <v>88.676236201463155</v>
      </c>
      <c r="W56" s="526">
        <f t="shared" si="18"/>
        <v>88.747887582435581</v>
      </c>
      <c r="X56" s="526">
        <f t="shared" si="18"/>
        <v>88.748593576980682</v>
      </c>
      <c r="Y56" s="526">
        <f t="shared" si="18"/>
        <v>88.738552552004094</v>
      </c>
      <c r="Z56" s="526">
        <f t="shared" si="18"/>
        <v>88.385269141001075</v>
      </c>
      <c r="AA56" s="526">
        <f t="shared" si="18"/>
        <v>88.20975184424077</v>
      </c>
      <c r="AB56" s="526">
        <f t="shared" si="18"/>
        <v>88.150003964011859</v>
      </c>
      <c r="AC56" s="526">
        <f t="shared" si="18"/>
        <v>88.137374668403353</v>
      </c>
      <c r="AD56" s="526">
        <f t="shared" si="18"/>
        <v>88.194255277722078</v>
      </c>
      <c r="AE56" s="526">
        <f t="shared" si="18"/>
        <v>88.220398080089765</v>
      </c>
      <c r="AF56" s="526">
        <f t="shared" si="18"/>
        <v>88.23476904777992</v>
      </c>
      <c r="AG56" s="526">
        <f t="shared" si="18"/>
        <v>88.205238635252314</v>
      </c>
      <c r="AH56" s="526">
        <f t="shared" si="18"/>
        <v>88.167078204150926</v>
      </c>
      <c r="AI56" s="526">
        <f t="shared" si="18"/>
        <v>88.15974403376336</v>
      </c>
      <c r="AJ56" s="526">
        <f t="shared" si="18"/>
        <v>88.169595336313861</v>
      </c>
      <c r="AK56"/>
      <c r="AM56" s="255" t="s">
        <v>379</v>
      </c>
      <c r="AN56" s="255">
        <v>1.746</v>
      </c>
      <c r="AO56" s="255">
        <v>1.4219999999999999</v>
      </c>
      <c r="AP56" s="255">
        <v>1.64</v>
      </c>
      <c r="AQ56" s="255">
        <v>2.3879999999999999</v>
      </c>
      <c r="AR56" s="255">
        <v>2.3069999999999999</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751</v>
      </c>
      <c r="AN57" s="255">
        <v>0</v>
      </c>
      <c r="AO57" s="255">
        <v>0</v>
      </c>
      <c r="AP57" s="255">
        <v>0</v>
      </c>
      <c r="AQ57" s="255">
        <v>0</v>
      </c>
      <c r="AR57" s="255">
        <v>0</v>
      </c>
    </row>
    <row r="58" spans="1:44" s="255" customFormat="1">
      <c r="A58" s="254" t="s">
        <v>83</v>
      </c>
      <c r="B58" s="483">
        <f>SUM(B49:B52,B54,B55)</f>
        <v>93.761999999999986</v>
      </c>
      <c r="C58" s="483">
        <f t="shared" ref="C58:AJ58" si="19">SUM(C49:C52,C54,C55)</f>
        <v>93.876999999999995</v>
      </c>
      <c r="D58" s="483">
        <f t="shared" si="19"/>
        <v>91.072000000000003</v>
      </c>
      <c r="E58" s="483">
        <f t="shared" si="19"/>
        <v>70.745999999999995</v>
      </c>
      <c r="F58" s="483">
        <f t="shared" si="19"/>
        <v>80.751000000000005</v>
      </c>
      <c r="G58" s="483">
        <f t="shared" si="19"/>
        <v>86.625554610146082</v>
      </c>
      <c r="H58" s="483">
        <f t="shared" si="19"/>
        <v>74.468297308305665</v>
      </c>
      <c r="I58" s="483">
        <f t="shared" si="19"/>
        <v>85.669826734839333</v>
      </c>
      <c r="J58" s="483">
        <f t="shared" si="19"/>
        <v>85.759423910434592</v>
      </c>
      <c r="K58" s="483">
        <f t="shared" si="19"/>
        <v>84.217606640667341</v>
      </c>
      <c r="L58" s="483">
        <f t="shared" si="19"/>
        <v>83.65223269237697</v>
      </c>
      <c r="M58" s="483">
        <f t="shared" si="19"/>
        <v>85.173132324070181</v>
      </c>
      <c r="N58" s="483">
        <f t="shared" si="19"/>
        <v>86.117924864303546</v>
      </c>
      <c r="O58" s="483">
        <f t="shared" si="19"/>
        <v>86.817180209456836</v>
      </c>
      <c r="P58" s="483">
        <f t="shared" si="19"/>
        <v>87.163788533591102</v>
      </c>
      <c r="Q58" s="483">
        <f t="shared" si="19"/>
        <v>87.760758390363108</v>
      </c>
      <c r="R58" s="483">
        <f t="shared" si="19"/>
        <v>88.043940903831768</v>
      </c>
      <c r="S58" s="483">
        <f t="shared" si="19"/>
        <v>88.137011947216408</v>
      </c>
      <c r="T58" s="483">
        <f t="shared" si="19"/>
        <v>88.484647854531104</v>
      </c>
      <c r="U58" s="483">
        <f t="shared" si="19"/>
        <v>88.657000350939612</v>
      </c>
      <c r="V58" s="483">
        <f t="shared" si="19"/>
        <v>88.676236201463155</v>
      </c>
      <c r="W58" s="483">
        <f t="shared" si="19"/>
        <v>88.747887582435581</v>
      </c>
      <c r="X58" s="483">
        <f t="shared" si="19"/>
        <v>88.748593576980682</v>
      </c>
      <c r="Y58" s="483">
        <f t="shared" si="19"/>
        <v>88.738552552004094</v>
      </c>
      <c r="Z58" s="483">
        <f t="shared" si="19"/>
        <v>88.385269141001075</v>
      </c>
      <c r="AA58" s="483">
        <f t="shared" si="19"/>
        <v>88.20975184424077</v>
      </c>
      <c r="AB58" s="483">
        <f t="shared" si="19"/>
        <v>88.150003964011859</v>
      </c>
      <c r="AC58" s="483">
        <f t="shared" si="19"/>
        <v>88.137374668403353</v>
      </c>
      <c r="AD58" s="483">
        <f t="shared" si="19"/>
        <v>88.194255277722078</v>
      </c>
      <c r="AE58" s="483">
        <f t="shared" si="19"/>
        <v>88.220398080089765</v>
      </c>
      <c r="AF58" s="483">
        <f t="shared" si="19"/>
        <v>88.23476904777992</v>
      </c>
      <c r="AG58" s="483">
        <f t="shared" si="19"/>
        <v>88.205238635252314</v>
      </c>
      <c r="AH58" s="483">
        <f t="shared" si="19"/>
        <v>88.167078204150926</v>
      </c>
      <c r="AI58" s="483">
        <f t="shared" si="19"/>
        <v>88.15974403376336</v>
      </c>
      <c r="AJ58" s="483">
        <f t="shared" si="19"/>
        <v>88.169595336313861</v>
      </c>
      <c r="AK58" s="490">
        <v>8.9999999999999993E-3</v>
      </c>
      <c r="AM58" s="255" t="s">
        <v>744</v>
      </c>
      <c r="AN58" s="255">
        <v>6.0000000000000001E-3</v>
      </c>
      <c r="AO58" s="255">
        <v>0</v>
      </c>
      <c r="AP58" s="255">
        <v>2E-3</v>
      </c>
      <c r="AQ58" s="255">
        <v>0</v>
      </c>
      <c r="AR58" s="255">
        <v>1E-3</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93.816000000000003</v>
      </c>
      <c r="AO59" s="5">
        <v>93.933000000000007</v>
      </c>
      <c r="AP59" s="5">
        <v>91.123000000000005</v>
      </c>
      <c r="AQ59" s="5">
        <v>70.783000000000001</v>
      </c>
      <c r="AR59" s="5">
        <v>80.789000000000001</v>
      </c>
    </row>
    <row r="60" spans="1:44" s="274" customFormat="1">
      <c r="A60" s="273" t="s">
        <v>331</v>
      </c>
      <c r="B60" s="367"/>
      <c r="C60" s="367"/>
      <c r="D60" s="367"/>
      <c r="E60" s="367">
        <f>E49/SUM(E49,E51)</f>
        <v>0.99840150170848674</v>
      </c>
      <c r="F60" s="367">
        <f t="shared" ref="F60:AJ60" si="20">F49/SUM(F49,F51)</f>
        <v>0.99821173104434902</v>
      </c>
      <c r="G60" s="324">
        <f t="shared" si="20"/>
        <v>0.99406249700141003</v>
      </c>
      <c r="H60" s="324">
        <f t="shared" si="20"/>
        <v>0.99004569026170008</v>
      </c>
      <c r="I60" s="324">
        <f t="shared" si="20"/>
        <v>0.9929587316677817</v>
      </c>
      <c r="J60" s="324">
        <f t="shared" si="20"/>
        <v>0.99322414723675445</v>
      </c>
      <c r="K60" s="324">
        <f t="shared" si="20"/>
        <v>0.9923427243009395</v>
      </c>
      <c r="L60" s="324">
        <f t="shared" si="20"/>
        <v>0.99113832937768565</v>
      </c>
      <c r="M60" s="324">
        <f t="shared" si="20"/>
        <v>0.99104182004652475</v>
      </c>
      <c r="N60" s="324">
        <f t="shared" si="20"/>
        <v>0.99093559201883341</v>
      </c>
      <c r="O60" s="324">
        <f t="shared" si="20"/>
        <v>0.99087370546556675</v>
      </c>
      <c r="P60" s="324">
        <f t="shared" si="20"/>
        <v>0.99083614483541282</v>
      </c>
      <c r="Q60" s="324">
        <f t="shared" si="20"/>
        <v>0.99107261130799962</v>
      </c>
      <c r="R60" s="324">
        <f t="shared" si="20"/>
        <v>0.99097957144941606</v>
      </c>
      <c r="S60" s="324">
        <f t="shared" si="20"/>
        <v>0.99061876421536621</v>
      </c>
      <c r="T60" s="324">
        <f t="shared" si="20"/>
        <v>0.99070172477667084</v>
      </c>
      <c r="U60" s="324">
        <f t="shared" si="20"/>
        <v>0.99071662563065743</v>
      </c>
      <c r="V60" s="324">
        <f t="shared" si="20"/>
        <v>0.99020663284126875</v>
      </c>
      <c r="W60" s="324">
        <f t="shared" si="20"/>
        <v>0.99004148049616558</v>
      </c>
      <c r="X60" s="324">
        <f t="shared" si="20"/>
        <v>0.99010091027189984</v>
      </c>
      <c r="Y60" s="324">
        <f t="shared" si="20"/>
        <v>0.9899648830474217</v>
      </c>
      <c r="Z60" s="324">
        <f t="shared" si="20"/>
        <v>0.99000532549943265</v>
      </c>
      <c r="AA60" s="324">
        <f t="shared" si="20"/>
        <v>0.9894081484126882</v>
      </c>
      <c r="AB60" s="324">
        <f t="shared" si="20"/>
        <v>0.98887842829150663</v>
      </c>
      <c r="AC60" s="324">
        <f t="shared" si="20"/>
        <v>0.98830312110060736</v>
      </c>
      <c r="AD60" s="324">
        <f t="shared" si="20"/>
        <v>0.98786588219042848</v>
      </c>
      <c r="AE60" s="324">
        <f t="shared" si="20"/>
        <v>0.98752777462639574</v>
      </c>
      <c r="AF60" s="324">
        <f t="shared" si="20"/>
        <v>0.98714233648450189</v>
      </c>
      <c r="AG60" s="324">
        <f t="shared" si="20"/>
        <v>0.9868394387745536</v>
      </c>
      <c r="AH60" s="324">
        <f t="shared" si="20"/>
        <v>0.98662630268072815</v>
      </c>
      <c r="AI60" s="324">
        <f t="shared" si="20"/>
        <v>0.98660218650670739</v>
      </c>
      <c r="AJ60" s="324">
        <f t="shared" si="20"/>
        <v>0.98648298040322246</v>
      </c>
      <c r="AK60" s="324"/>
      <c r="AL60" s="274" t="s">
        <v>0</v>
      </c>
    </row>
    <row r="61" spans="1:44" s="265" customFormat="1">
      <c r="A61" s="262" t="s">
        <v>107</v>
      </c>
      <c r="B61" s="358">
        <f>B54/B58</f>
        <v>1.8621616433096566E-2</v>
      </c>
      <c r="C61" s="358">
        <f t="shared" ref="C61:AJ61" si="21">C54/C58</f>
        <v>1.5147480213470819E-2</v>
      </c>
      <c r="D61" s="358">
        <f t="shared" si="21"/>
        <v>1.8007730147575542E-2</v>
      </c>
      <c r="E61" s="358">
        <f t="shared" si="21"/>
        <v>3.3754558561614793E-2</v>
      </c>
      <c r="F61" s="358">
        <f t="shared" si="21"/>
        <v>2.8569305643273764E-2</v>
      </c>
      <c r="G61" s="309">
        <f t="shared" si="21"/>
        <v>5.9902574390121956E-2</v>
      </c>
      <c r="H61" s="309">
        <f t="shared" si="21"/>
        <v>7.1318926221318607E-2</v>
      </c>
      <c r="I61" s="309">
        <f t="shared" si="21"/>
        <v>7.3785270372319384E-2</v>
      </c>
      <c r="J61" s="309">
        <f t="shared" si="21"/>
        <v>7.5535596591011334E-2</v>
      </c>
      <c r="K61" s="309">
        <f t="shared" si="21"/>
        <v>7.8884935018502592E-2</v>
      </c>
      <c r="L61" s="309">
        <f t="shared" si="21"/>
        <v>8.0239628565304644E-2</v>
      </c>
      <c r="M61" s="309">
        <f t="shared" si="21"/>
        <v>8.1659904384134729E-2</v>
      </c>
      <c r="N61" s="309">
        <f t="shared" si="21"/>
        <v>8.0763872122472727E-2</v>
      </c>
      <c r="O61" s="309">
        <f t="shared" si="21"/>
        <v>8.0108366970976605E-2</v>
      </c>
      <c r="P61" s="309">
        <f t="shared" si="21"/>
        <v>7.9807842306163432E-2</v>
      </c>
      <c r="Q61" s="309">
        <f t="shared" si="21"/>
        <v>7.9635732806184037E-2</v>
      </c>
      <c r="R61" s="309">
        <f t="shared" si="21"/>
        <v>7.938665606939671E-2</v>
      </c>
      <c r="S61" s="309">
        <f t="shared" si="21"/>
        <v>8.0586443680232475E-2</v>
      </c>
      <c r="T61" s="309">
        <f t="shared" si="21"/>
        <v>8.0300715684087809E-2</v>
      </c>
      <c r="U61" s="309">
        <f t="shared" si="21"/>
        <v>8.0191325145135411E-2</v>
      </c>
      <c r="V61" s="309">
        <f t="shared" si="21"/>
        <v>8.0243474808780538E-2</v>
      </c>
      <c r="W61" s="309">
        <f t="shared" si="21"/>
        <v>8.025495306886847E-2</v>
      </c>
      <c r="X61" s="309">
        <f t="shared" si="21"/>
        <v>8.0532682792400945E-2</v>
      </c>
      <c r="Y61" s="309">
        <f t="shared" si="21"/>
        <v>8.0620218782167602E-2</v>
      </c>
      <c r="Z61" s="309">
        <f t="shared" si="21"/>
        <v>8.1167990111108895E-2</v>
      </c>
      <c r="AA61" s="309">
        <f t="shared" si="21"/>
        <v>8.1796910438456133E-2</v>
      </c>
      <c r="AB61" s="309">
        <f t="shared" si="21"/>
        <v>8.2268192809325846E-2</v>
      </c>
      <c r="AC61" s="309">
        <f t="shared" si="21"/>
        <v>8.2417467798334948E-2</v>
      </c>
      <c r="AD61" s="309">
        <f t="shared" si="21"/>
        <v>8.305823515976847E-2</v>
      </c>
      <c r="AE61" s="309">
        <f t="shared" si="21"/>
        <v>8.3604374085422983E-2</v>
      </c>
      <c r="AF61" s="309">
        <f t="shared" si="21"/>
        <v>8.3858199336745792E-2</v>
      </c>
      <c r="AG61" s="309">
        <f t="shared" si="21"/>
        <v>8.4174537458204995E-2</v>
      </c>
      <c r="AH61" s="309">
        <f t="shared" si="21"/>
        <v>8.4428084216757016E-2</v>
      </c>
      <c r="AI61" s="309">
        <f t="shared" si="21"/>
        <v>8.4874871062307594E-2</v>
      </c>
      <c r="AJ61" s="309">
        <f t="shared" si="21"/>
        <v>8.5479714319473668E-2</v>
      </c>
      <c r="AK61" s="309"/>
    </row>
    <row r="62" spans="1:44" s="275" customFormat="1">
      <c r="A62" s="264" t="s">
        <v>108</v>
      </c>
      <c r="B62" s="368">
        <f>(B54-EIA_RE_aeo2014!B73)/B56</f>
        <v>1.8546942952161671E-3</v>
      </c>
      <c r="C62" s="368">
        <f>(C54-EIA_RE_aeo2014!C73)/C56</f>
        <v>1.7885088307623509E-3</v>
      </c>
      <c r="D62" s="368">
        <f>(D54-EIA_RE_aeo2014!D73)/D56</f>
        <v>4.3018776818146889E-3</v>
      </c>
      <c r="E62" s="368">
        <f>(E54-EIA_RE_aeo2014!E73)/E56</f>
        <v>1.0482743031518867E-2</v>
      </c>
      <c r="F62" s="368">
        <f>(F54-EIA_RE_aeo2014!F73)/F56</f>
        <v>1.1635247372785899E-2</v>
      </c>
      <c r="G62" s="325">
        <f>(G54-EIA_RE_aeo2014!G73)/G56</f>
        <v>3.6190816644296034E-2</v>
      </c>
      <c r="H62" s="325">
        <f>(H54-EIA_RE_aeo2014!H73)/H56</f>
        <v>4.9678741017469656E-2</v>
      </c>
      <c r="I62" s="325">
        <f>(I54-EIA_RE_aeo2014!I73)/I56</f>
        <v>4.9634166738743137E-2</v>
      </c>
      <c r="J62" s="325">
        <f>(J54-EIA_RE_aeo2014!J73)/J56</f>
        <v>4.9701205902254644E-2</v>
      </c>
      <c r="K62" s="325">
        <f>(K54-EIA_RE_aeo2014!K73)/K56</f>
        <v>5.0961778082102602E-2</v>
      </c>
      <c r="L62" s="325">
        <f>(L54-EIA_RE_aeo2014!L73)/L56</f>
        <v>5.1630239939905745E-2</v>
      </c>
      <c r="M62" s="325">
        <f>(M54-EIA_RE_aeo2014!M73)/M56</f>
        <v>5.0708993442400679E-2</v>
      </c>
      <c r="N62" s="325">
        <f>(N54-EIA_RE_aeo2014!N73)/N56</f>
        <v>5.0152521032154673E-2</v>
      </c>
      <c r="O62" s="325">
        <f>(O54-EIA_RE_aeo2014!O73)/O56</f>
        <v>4.9743570201135526E-2</v>
      </c>
      <c r="P62" s="325">
        <f>(P54-EIA_RE_aeo2014!P73)/P56</f>
        <v>4.9563794079207531E-2</v>
      </c>
      <c r="Q62" s="325">
        <f>(Q54-EIA_RE_aeo2014!Q73)/Q56</f>
        <v>4.9232583963796386E-2</v>
      </c>
      <c r="R62" s="325">
        <f>(R54-EIA_RE_aeo2014!R73)/R56</f>
        <v>4.9081295218075402E-2</v>
      </c>
      <c r="S62" s="325">
        <f>(S54-EIA_RE_aeo2014!S73)/S56</f>
        <v>4.9040641398230528E-2</v>
      </c>
      <c r="T62" s="325">
        <f>(T54-EIA_RE_aeo2014!T73)/T56</f>
        <v>4.8878849631298224E-2</v>
      </c>
      <c r="U62" s="325">
        <f>(U54-EIA_RE_aeo2014!U73)/U56</f>
        <v>4.8830544365190312E-2</v>
      </c>
      <c r="V62" s="325">
        <f>(V54-EIA_RE_aeo2014!V73)/V56</f>
        <v>4.8889496880616549E-2</v>
      </c>
      <c r="W62" s="325">
        <f>(W54-EIA_RE_aeo2014!W73)/W56</f>
        <v>4.8926289048209545E-2</v>
      </c>
      <c r="X62" s="325">
        <f>(X54-EIA_RE_aeo2014!X73)/X56</f>
        <v>4.900170262016959E-2</v>
      </c>
      <c r="Y62" s="325">
        <f>(Y54-EIA_RE_aeo2014!Y73)/Y56</f>
        <v>4.908567078794298E-2</v>
      </c>
      <c r="Z62" s="325">
        <f>(Z54-EIA_RE_aeo2014!Z73)/Z56</f>
        <v>4.9375028585807869E-2</v>
      </c>
      <c r="AA62" s="325">
        <f>(AA54-EIA_RE_aeo2014!AK73)/AA56</f>
        <v>8.1796910438456133E-2</v>
      </c>
      <c r="AB62" s="325">
        <f>(AB54-EIA_RE_aeo2014!AL73)/AB56</f>
        <v>8.2268192809325846E-2</v>
      </c>
      <c r="AC62" s="325">
        <f>(AC54-EIA_RE_aeo2014!AM73)/AC56</f>
        <v>8.2417467798334948E-2</v>
      </c>
      <c r="AD62" s="325">
        <f>(AD54-EIA_RE_aeo2014!AN73)/AD56</f>
        <v>6.523394496025603E-2</v>
      </c>
      <c r="AE62" s="325">
        <f>(AE54-EIA_RE_aeo2014!AO73)/AE56</f>
        <v>6.9389974385462752E-2</v>
      </c>
      <c r="AF62" s="325">
        <f>(AF54-EIA_RE_aeo2014!AP73)/AF56</f>
        <v>6.9714115168245314E-2</v>
      </c>
      <c r="AG62" s="325">
        <f>(AG54-EIA_RE_aeo2014!AQ73)/AG56</f>
        <v>6.5513514309607612E-2</v>
      </c>
      <c r="AH62" s="325">
        <f>(AH54-EIA_RE_aeo2014!AR73)/AH56</f>
        <v>6.8923430690247839E-2</v>
      </c>
      <c r="AI62" s="325">
        <f>(AI54-EIA_RE_aeo2014!AS73)/AI56</f>
        <v>8.4874871062307594E-2</v>
      </c>
      <c r="AJ62" s="325">
        <f>(AJ54-EIA_RE_aeo2014!AT73)/AJ56</f>
        <v>8.5479714319473668E-2</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1.1844662451140293</v>
      </c>
      <c r="H64" s="481">
        <f t="shared" ref="H64:O64" si="22">H63/1000/H58</f>
        <v>2.1936981864063636</v>
      </c>
      <c r="I64" s="481">
        <f t="shared" si="22"/>
        <v>2.637739472398196</v>
      </c>
      <c r="J64" s="481">
        <f t="shared" si="22"/>
        <v>3.3767924299310104</v>
      </c>
      <c r="K64" s="481">
        <f t="shared" si="22"/>
        <v>4.2576521315775873</v>
      </c>
      <c r="L64" s="481">
        <f t="shared" si="22"/>
        <v>5.1164882605817548</v>
      </c>
      <c r="M64" s="481">
        <f t="shared" si="22"/>
        <v>5.8646333554042274</v>
      </c>
      <c r="N64" s="481">
        <f t="shared" si="22"/>
        <v>6.6352457479018367</v>
      </c>
      <c r="O64" s="481">
        <f t="shared" si="22"/>
        <v>7.4015559836623757</v>
      </c>
      <c r="P64" s="481">
        <f t="shared" ref="P64" si="23">P63/1000/P58</f>
        <v>8.1777568933376532</v>
      </c>
      <c r="Q64" s="481">
        <f t="shared" ref="Q64" si="24">Q63/1000/Q58</f>
        <v>8.9553870219095817</v>
      </c>
      <c r="R64" s="481">
        <f t="shared" ref="R64" si="25">R63/1000/R58</f>
        <v>9.784382911857012</v>
      </c>
      <c r="S64" s="481">
        <f t="shared" ref="S64" si="26">S63/1000/S58</f>
        <v>10.664428291634248</v>
      </c>
      <c r="T64" s="481">
        <f t="shared" ref="T64" si="27">T63/1000/T58</f>
        <v>11.511995933177445</v>
      </c>
      <c r="U64" s="481">
        <f t="shared" ref="U64" si="28">U63/1000/U58</f>
        <v>12.369166054673288</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0.85205631266864412</v>
      </c>
      <c r="I65" s="481">
        <f t="shared" si="29"/>
        <v>0.2024167630458065</v>
      </c>
      <c r="J65" s="481">
        <f t="shared" si="29"/>
        <v>0.28018421275732652</v>
      </c>
      <c r="K65" s="481">
        <f t="shared" si="29"/>
        <v>0.26085692855707254</v>
      </c>
      <c r="L65" s="481">
        <f t="shared" si="29"/>
        <v>0.20171589938841317</v>
      </c>
      <c r="M65" s="481">
        <f t="shared" si="29"/>
        <v>0.14622238080487787</v>
      </c>
      <c r="N65" s="481">
        <f t="shared" si="29"/>
        <v>0.13139992661050059</v>
      </c>
      <c r="O65" s="481">
        <f t="shared" si="29"/>
        <v>0.11549085970219831</v>
      </c>
      <c r="P65" s="481">
        <f t="shared" si="29"/>
        <v>0.10486996401683694</v>
      </c>
      <c r="Q65" s="481">
        <f t="shared" si="29"/>
        <v>9.5090883565572479E-2</v>
      </c>
      <c r="R65" s="481">
        <f t="shared" si="29"/>
        <v>9.2569521330487542E-2</v>
      </c>
      <c r="S65" s="481">
        <f t="shared" si="29"/>
        <v>8.9943881765989622E-2</v>
      </c>
      <c r="T65" s="481">
        <f t="shared" si="29"/>
        <v>7.9476144277520686E-2</v>
      </c>
      <c r="U65" s="481">
        <f t="shared" si="29"/>
        <v>7.4458862431100059E-2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v>
      </c>
      <c r="C66" s="369">
        <f t="shared" ref="C66:AJ66" si="30">C52/C58</f>
        <v>0</v>
      </c>
      <c r="D66" s="369">
        <f t="shared" si="30"/>
        <v>0</v>
      </c>
      <c r="E66" s="369">
        <f t="shared" si="30"/>
        <v>0</v>
      </c>
      <c r="F66" s="369">
        <f t="shared" si="30"/>
        <v>0</v>
      </c>
      <c r="G66" s="326">
        <f t="shared" si="30"/>
        <v>0</v>
      </c>
      <c r="H66" s="326">
        <f t="shared" si="30"/>
        <v>0</v>
      </c>
      <c r="I66" s="326">
        <f t="shared" si="30"/>
        <v>0</v>
      </c>
      <c r="J66" s="326">
        <f t="shared" si="30"/>
        <v>0</v>
      </c>
      <c r="K66" s="326">
        <f t="shared" si="30"/>
        <v>0</v>
      </c>
      <c r="L66" s="326">
        <f t="shared" si="30"/>
        <v>0</v>
      </c>
      <c r="M66" s="326">
        <f t="shared" si="30"/>
        <v>0</v>
      </c>
      <c r="N66" s="326">
        <f t="shared" si="30"/>
        <v>0</v>
      </c>
      <c r="O66" s="326">
        <f t="shared" si="30"/>
        <v>0</v>
      </c>
      <c r="P66" s="326">
        <f t="shared" si="30"/>
        <v>0</v>
      </c>
      <c r="Q66" s="326">
        <f t="shared" si="30"/>
        <v>0</v>
      </c>
      <c r="R66" s="326">
        <f t="shared" si="30"/>
        <v>0</v>
      </c>
      <c r="S66" s="326">
        <f t="shared" si="30"/>
        <v>0</v>
      </c>
      <c r="T66" s="326">
        <f t="shared" si="30"/>
        <v>0</v>
      </c>
      <c r="U66" s="326">
        <f t="shared" si="30"/>
        <v>0</v>
      </c>
      <c r="V66" s="326">
        <f t="shared" si="30"/>
        <v>0</v>
      </c>
      <c r="W66" s="326">
        <f t="shared" si="30"/>
        <v>0</v>
      </c>
      <c r="X66" s="326">
        <f t="shared" si="30"/>
        <v>0</v>
      </c>
      <c r="Y66" s="326">
        <f t="shared" si="30"/>
        <v>0</v>
      </c>
      <c r="Z66" s="326">
        <f t="shared" si="30"/>
        <v>0</v>
      </c>
      <c r="AA66" s="326">
        <f t="shared" si="30"/>
        <v>0</v>
      </c>
      <c r="AB66" s="326">
        <f t="shared" si="30"/>
        <v>0</v>
      </c>
      <c r="AC66" s="326">
        <f t="shared" si="30"/>
        <v>0</v>
      </c>
      <c r="AD66" s="326">
        <f t="shared" si="30"/>
        <v>0</v>
      </c>
      <c r="AE66" s="326">
        <f t="shared" si="30"/>
        <v>0</v>
      </c>
      <c r="AF66" s="326">
        <f t="shared" si="30"/>
        <v>0</v>
      </c>
      <c r="AG66" s="326">
        <f t="shared" si="30"/>
        <v>0</v>
      </c>
      <c r="AH66" s="326">
        <f t="shared" si="30"/>
        <v>0</v>
      </c>
      <c r="AI66" s="326">
        <f t="shared" si="30"/>
        <v>0</v>
      </c>
      <c r="AJ66" s="326">
        <f t="shared" si="30"/>
        <v>0</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3" t="s">
        <v>632</v>
      </c>
      <c r="B109" s="563"/>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row>
    <row r="110" spans="1:38">
      <c r="A110" s="564" t="s">
        <v>633</v>
      </c>
      <c r="B110" s="564"/>
      <c r="C110" s="564"/>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4"/>
      <c r="AD110" s="564"/>
      <c r="AE110" s="564"/>
      <c r="AF110" s="564"/>
    </row>
    <row r="111" spans="1:38">
      <c r="A111" s="564" t="s">
        <v>634</v>
      </c>
      <c r="B111" s="564"/>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4"/>
      <c r="Z111" s="564"/>
      <c r="AA111" s="564"/>
      <c r="AB111" s="564"/>
      <c r="AC111" s="564"/>
      <c r="AD111" s="564"/>
      <c r="AE111" s="564"/>
      <c r="AF111" s="564"/>
    </row>
    <row r="112" spans="1:38">
      <c r="A112" s="564" t="s">
        <v>635</v>
      </c>
      <c r="B112" s="564"/>
      <c r="C112" s="564"/>
      <c r="D112" s="56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row>
    <row r="113" spans="1:32">
      <c r="A113" s="564" t="s">
        <v>636</v>
      </c>
      <c r="B113" s="564"/>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64"/>
    </row>
    <row r="114" spans="1:32">
      <c r="A114" s="564" t="s">
        <v>637</v>
      </c>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row>
    <row r="115" spans="1:32">
      <c r="A115" s="564" t="s">
        <v>638</v>
      </c>
      <c r="B115" s="564"/>
      <c r="C115" s="564"/>
      <c r="D115" s="564"/>
      <c r="E115" s="564"/>
      <c r="F115" s="564"/>
      <c r="G115" s="564"/>
      <c r="H115" s="564"/>
      <c r="I115" s="564"/>
      <c r="J115" s="564"/>
      <c r="K115" s="564"/>
      <c r="L115" s="564"/>
      <c r="M115" s="564"/>
      <c r="N115" s="564"/>
      <c r="O115" s="564"/>
      <c r="P115" s="564"/>
      <c r="Q115" s="564"/>
      <c r="R115" s="564"/>
      <c r="S115" s="564"/>
      <c r="T115" s="564"/>
      <c r="U115" s="564"/>
      <c r="V115" s="564"/>
      <c r="W115" s="564"/>
      <c r="X115" s="564"/>
      <c r="Y115" s="564"/>
      <c r="Z115" s="564"/>
      <c r="AA115" s="564"/>
      <c r="AB115" s="564"/>
      <c r="AC115" s="564"/>
      <c r="AD115" s="564"/>
      <c r="AE115" s="564"/>
      <c r="AF115" s="564"/>
    </row>
    <row r="116" spans="1:32">
      <c r="A116" s="564" t="s">
        <v>639</v>
      </c>
      <c r="B116" s="564"/>
      <c r="C116" s="564"/>
      <c r="D116" s="564"/>
      <c r="E116" s="564"/>
      <c r="F116" s="564"/>
      <c r="G116" s="564"/>
      <c r="H116" s="564"/>
      <c r="I116" s="564"/>
      <c r="J116" s="564"/>
      <c r="K116" s="564"/>
      <c r="L116" s="564"/>
      <c r="M116" s="564"/>
      <c r="N116" s="564"/>
      <c r="O116" s="564"/>
      <c r="P116" s="564"/>
      <c r="Q116" s="564"/>
      <c r="R116" s="564"/>
      <c r="S116" s="564"/>
      <c r="T116" s="564"/>
      <c r="U116" s="564"/>
      <c r="V116" s="564"/>
      <c r="W116" s="564"/>
      <c r="X116" s="564"/>
      <c r="Y116" s="564"/>
      <c r="Z116" s="564"/>
      <c r="AA116" s="564"/>
      <c r="AB116" s="564"/>
      <c r="AC116" s="564"/>
      <c r="AD116" s="564"/>
      <c r="AE116" s="564"/>
      <c r="AF116" s="564"/>
    </row>
    <row r="117" spans="1:32">
      <c r="A117" s="564" t="s">
        <v>640</v>
      </c>
      <c r="B117" s="564"/>
      <c r="C117" s="564"/>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4"/>
      <c r="AD117" s="564"/>
      <c r="AE117" s="564"/>
      <c r="AF117" s="564"/>
    </row>
    <row r="118" spans="1:32">
      <c r="A118" s="564" t="s">
        <v>641</v>
      </c>
      <c r="B118" s="564"/>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row>
    <row r="119" spans="1:32">
      <c r="A119" s="564" t="s">
        <v>642</v>
      </c>
      <c r="B119" s="564"/>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row>
    <row r="120" spans="1:32">
      <c r="A120" s="564" t="s">
        <v>643</v>
      </c>
      <c r="B120" s="564"/>
      <c r="C120" s="564"/>
      <c r="D120" s="564"/>
      <c r="E120" s="564"/>
      <c r="F120" s="564"/>
      <c r="G120" s="564"/>
      <c r="H120" s="564"/>
      <c r="I120" s="564"/>
      <c r="J120" s="564"/>
      <c r="K120" s="564"/>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row>
    <row r="121" spans="1:32">
      <c r="A121" s="564" t="s">
        <v>644</v>
      </c>
      <c r="B121" s="564"/>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row>
    <row r="122" spans="1:32">
      <c r="A122" s="564" t="s">
        <v>645</v>
      </c>
      <c r="B122" s="564"/>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4"/>
      <c r="AB122" s="564"/>
      <c r="AC122" s="564"/>
      <c r="AD122" s="564"/>
      <c r="AE122" s="564"/>
      <c r="AF122" s="564"/>
    </row>
    <row r="123" spans="1:32">
      <c r="A123" s="564" t="s">
        <v>646</v>
      </c>
      <c r="B123" s="564"/>
      <c r="C123" s="564"/>
      <c r="D123" s="564"/>
      <c r="E123" s="564"/>
      <c r="F123" s="564"/>
      <c r="G123" s="564"/>
      <c r="H123" s="564"/>
      <c r="I123" s="564"/>
      <c r="J123" s="564"/>
      <c r="K123" s="564"/>
      <c r="L123" s="564"/>
      <c r="M123" s="564"/>
      <c r="N123" s="564"/>
      <c r="O123" s="564"/>
      <c r="P123" s="564"/>
      <c r="Q123" s="564"/>
      <c r="R123" s="564"/>
      <c r="S123" s="564"/>
      <c r="T123" s="564"/>
      <c r="U123" s="564"/>
      <c r="V123" s="564"/>
      <c r="W123" s="564"/>
      <c r="X123" s="564"/>
      <c r="Y123" s="564"/>
      <c r="Z123" s="564"/>
      <c r="AA123" s="564"/>
      <c r="AB123" s="564"/>
      <c r="AC123" s="564"/>
      <c r="AD123" s="564"/>
      <c r="AE123" s="564"/>
      <c r="AF123" s="564"/>
    </row>
    <row r="124" spans="1:32">
      <c r="A124" s="564" t="s">
        <v>647</v>
      </c>
      <c r="B124" s="564"/>
      <c r="C124" s="564"/>
      <c r="D124" s="564"/>
      <c r="E124" s="564"/>
      <c r="F124" s="564"/>
      <c r="G124" s="564"/>
      <c r="H124" s="564"/>
      <c r="I124" s="564"/>
      <c r="J124" s="564"/>
      <c r="K124" s="564"/>
      <c r="L124" s="564"/>
      <c r="M124" s="564"/>
      <c r="N124" s="564"/>
      <c r="O124" s="564"/>
      <c r="P124" s="564"/>
      <c r="Q124" s="564"/>
      <c r="R124" s="564"/>
      <c r="S124" s="564"/>
      <c r="T124" s="564"/>
      <c r="U124" s="564"/>
      <c r="V124" s="564"/>
      <c r="W124" s="564"/>
      <c r="X124" s="564"/>
      <c r="Y124" s="564"/>
      <c r="Z124" s="564"/>
      <c r="AA124" s="564"/>
      <c r="AB124" s="564"/>
      <c r="AC124" s="564"/>
      <c r="AD124" s="564"/>
      <c r="AE124" s="564"/>
      <c r="AF124" s="564"/>
    </row>
    <row r="125" spans="1:32">
      <c r="A125" s="564" t="s">
        <v>640</v>
      </c>
      <c r="B125" s="564"/>
      <c r="C125" s="564"/>
      <c r="D125" s="564"/>
      <c r="E125" s="564"/>
      <c r="F125" s="564"/>
      <c r="G125" s="564"/>
      <c r="H125" s="564"/>
      <c r="I125" s="564"/>
      <c r="J125" s="564"/>
      <c r="K125" s="564"/>
      <c r="L125" s="564"/>
      <c r="M125" s="564"/>
      <c r="N125" s="564"/>
      <c r="O125" s="564"/>
      <c r="P125" s="564"/>
      <c r="Q125" s="564"/>
      <c r="R125" s="564"/>
      <c r="S125" s="564"/>
      <c r="T125" s="564"/>
      <c r="U125" s="564"/>
      <c r="V125" s="564"/>
      <c r="W125" s="564"/>
      <c r="X125" s="564"/>
      <c r="Y125" s="564"/>
      <c r="Z125" s="564"/>
      <c r="AA125" s="564"/>
      <c r="AB125" s="564"/>
      <c r="AC125" s="564"/>
      <c r="AD125" s="564"/>
      <c r="AE125" s="564"/>
      <c r="AF125" s="564"/>
    </row>
    <row r="126" spans="1:32">
      <c r="A126" s="564" t="s">
        <v>648</v>
      </c>
      <c r="B126" s="564"/>
      <c r="C126" s="564"/>
      <c r="D126" s="564"/>
      <c r="E126" s="564"/>
      <c r="F126" s="564"/>
      <c r="G126" s="564"/>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row>
    <row r="127" spans="1:32">
      <c r="A127" s="564" t="s">
        <v>649</v>
      </c>
      <c r="B127" s="564"/>
      <c r="C127" s="564"/>
      <c r="D127" s="564"/>
      <c r="E127" s="564"/>
      <c r="F127" s="564"/>
      <c r="G127" s="564"/>
      <c r="H127" s="564"/>
      <c r="I127" s="564"/>
      <c r="J127" s="564"/>
      <c r="K127" s="564"/>
      <c r="L127" s="564"/>
      <c r="M127" s="564"/>
      <c r="N127" s="564"/>
      <c r="O127" s="564"/>
      <c r="P127" s="564"/>
      <c r="Q127" s="564"/>
      <c r="R127" s="564"/>
      <c r="S127" s="564"/>
      <c r="T127" s="564"/>
      <c r="U127" s="564"/>
      <c r="V127" s="564"/>
      <c r="W127" s="564"/>
      <c r="X127" s="564"/>
      <c r="Y127" s="564"/>
      <c r="Z127" s="564"/>
      <c r="AA127" s="564"/>
      <c r="AB127" s="564"/>
      <c r="AC127" s="564"/>
      <c r="AD127" s="564"/>
      <c r="AE127" s="564"/>
      <c r="AF127" s="564"/>
    </row>
    <row r="128" spans="1:32">
      <c r="A128" s="564" t="s">
        <v>650</v>
      </c>
      <c r="B128" s="564"/>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c r="Y128" s="564"/>
      <c r="Z128" s="564"/>
      <c r="AA128" s="564"/>
      <c r="AB128" s="564"/>
      <c r="AC128" s="564"/>
      <c r="AD128" s="564"/>
      <c r="AE128" s="564"/>
      <c r="AF128" s="564"/>
    </row>
    <row r="129" spans="1:32">
      <c r="A129" s="564" t="s">
        <v>620</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row>
    <row r="130" spans="1:32">
      <c r="A130" s="564" t="s">
        <v>621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row>
    <row r="131" spans="1:32">
      <c r="A131" s="564" t="s">
        <v>622</v>
      </c>
      <c r="B131" s="564"/>
      <c r="C131" s="564"/>
      <c r="D131" s="564"/>
      <c r="E131" s="564"/>
      <c r="F131" s="564"/>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row>
    <row r="132" spans="1:32">
      <c r="A132" s="564" t="s">
        <v>651</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row>
    <row r="133" spans="1:32">
      <c r="A133" s="564" t="s">
        <v>652</v>
      </c>
      <c r="B133" s="564"/>
      <c r="C133" s="564"/>
      <c r="D133" s="564"/>
      <c r="E133" s="564"/>
      <c r="F133" s="564"/>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row>
    <row r="134" spans="1:32">
      <c r="A134" s="564" t="s">
        <v>653</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row>
    <row r="135" spans="1:32">
      <c r="A135" s="564" t="s">
        <v>654</v>
      </c>
      <c r="B135" s="564"/>
      <c r="C135" s="564"/>
      <c r="D135" s="564"/>
      <c r="E135" s="564"/>
      <c r="F135" s="564"/>
      <c r="G135" s="564"/>
      <c r="H135" s="564"/>
      <c r="I135" s="564"/>
      <c r="J135" s="564"/>
      <c r="K135" s="564"/>
      <c r="L135" s="564"/>
      <c r="M135" s="564"/>
      <c r="N135" s="564"/>
      <c r="O135" s="564"/>
      <c r="P135" s="564"/>
      <c r="Q135" s="564"/>
      <c r="R135" s="564"/>
      <c r="S135" s="564"/>
      <c r="T135" s="564"/>
      <c r="U135" s="564"/>
      <c r="V135" s="564"/>
      <c r="W135" s="564"/>
      <c r="X135" s="564"/>
      <c r="Y135" s="564"/>
      <c r="Z135" s="564"/>
      <c r="AA135" s="564"/>
      <c r="AB135" s="564"/>
      <c r="AC135" s="564"/>
      <c r="AD135" s="564"/>
      <c r="AE135" s="564"/>
      <c r="AF135" s="564"/>
    </row>
    <row r="136" spans="1:32">
      <c r="A136" s="564" t="s">
        <v>655</v>
      </c>
      <c r="B136" s="564"/>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row>
    <row r="137" spans="1:32">
      <c r="A137" s="564" t="s">
        <v>656</v>
      </c>
      <c r="B137" s="564"/>
      <c r="C137" s="564"/>
      <c r="D137" s="564"/>
      <c r="E137" s="564"/>
      <c r="F137" s="564"/>
      <c r="G137" s="564"/>
      <c r="H137" s="564"/>
      <c r="I137" s="564"/>
      <c r="J137" s="564"/>
      <c r="K137" s="564"/>
      <c r="L137" s="564"/>
      <c r="M137" s="564"/>
      <c r="N137" s="564"/>
      <c r="O137" s="564"/>
      <c r="P137" s="564"/>
      <c r="Q137" s="564"/>
      <c r="R137" s="564"/>
      <c r="S137" s="564"/>
      <c r="T137" s="564"/>
      <c r="U137" s="564"/>
      <c r="V137" s="564"/>
      <c r="W137" s="564"/>
      <c r="X137" s="564"/>
      <c r="Y137" s="564"/>
      <c r="Z137" s="564"/>
      <c r="AA137" s="564"/>
      <c r="AB137" s="564"/>
      <c r="AC137" s="564"/>
      <c r="AD137" s="564"/>
      <c r="AE137" s="564"/>
      <c r="AF137" s="564"/>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6" zoomScale="125" zoomScaleNormal="125" zoomScalePageLayoutView="125" workbookViewId="0">
      <selection activeCell="AM64" sqref="AM64"/>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705</v>
      </c>
    </row>
    <row r="3" spans="1:37">
      <c r="A3" s="272" t="s">
        <v>657</v>
      </c>
    </row>
    <row r="4" spans="1:37">
      <c r="A4" s="272" t="s">
        <v>658</v>
      </c>
    </row>
    <row r="6" spans="1:37">
      <c r="A6" s="6" t="s">
        <v>5</v>
      </c>
    </row>
    <row r="7" spans="1:37">
      <c r="A7" s="6" t="s">
        <v>6</v>
      </c>
    </row>
    <row r="8" spans="1:37">
      <c r="A8" s="78" t="s">
        <v>281</v>
      </c>
    </row>
    <row r="10" spans="1:37">
      <c r="AK10" s="300" t="s">
        <v>715</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582</v>
      </c>
      <c r="AB11" s="300" t="s">
        <v>583</v>
      </c>
      <c r="AC11" s="300" t="s">
        <v>584</v>
      </c>
      <c r="AD11" s="300" t="s">
        <v>585</v>
      </c>
      <c r="AE11" s="300" t="s">
        <v>586</v>
      </c>
      <c r="AF11" s="300" t="s">
        <v>587</v>
      </c>
      <c r="AG11" s="300" t="s">
        <v>588</v>
      </c>
      <c r="AH11" s="300" t="s">
        <v>589</v>
      </c>
      <c r="AI11" s="300" t="s">
        <v>590</v>
      </c>
      <c r="AJ11" s="300" t="s">
        <v>591</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1.0000000000000001E-5</v>
      </c>
      <c r="H33" s="499">
        <v>1.0000000000000001E-5</v>
      </c>
      <c r="I33" s="499">
        <v>1.0000000000000001E-5</v>
      </c>
      <c r="J33" s="499">
        <v>1.0000000000000001E-5</v>
      </c>
      <c r="K33" s="499">
        <v>1.0000000000000001E-5</v>
      </c>
      <c r="L33" s="499">
        <v>1.0000000000000001E-5</v>
      </c>
      <c r="M33" s="499">
        <v>1.0000000000000001E-5</v>
      </c>
      <c r="N33" s="499">
        <v>1.0000000000000001E-5</v>
      </c>
      <c r="O33" s="499">
        <v>1.0000000000000001E-5</v>
      </c>
      <c r="P33" s="499">
        <v>1.0000000000000001E-5</v>
      </c>
      <c r="Q33" s="499">
        <v>1.0000000000000001E-5</v>
      </c>
      <c r="R33" s="499">
        <v>1.0000000000000001E-5</v>
      </c>
      <c r="S33" s="499">
        <v>1.0000000000000001E-5</v>
      </c>
      <c r="T33" s="499">
        <v>1.0000000000000001E-5</v>
      </c>
      <c r="U33" s="499">
        <v>1.0000000000000001E-5</v>
      </c>
      <c r="V33" s="499">
        <v>1.0000000000000001E-5</v>
      </c>
      <c r="W33" s="499">
        <v>1.0000000000000001E-5</v>
      </c>
      <c r="X33" s="499">
        <v>1.0000000000000001E-5</v>
      </c>
      <c r="Y33" s="499">
        <v>1.0000000000000001E-5</v>
      </c>
      <c r="Z33" s="499">
        <v>1.0000000000000001E-5</v>
      </c>
      <c r="AA33" s="499">
        <v>1.0000000000000001E-5</v>
      </c>
      <c r="AB33" s="499">
        <v>1.0000000000000001E-5</v>
      </c>
      <c r="AC33" s="499">
        <v>1.0000000000000001E-5</v>
      </c>
      <c r="AD33" s="499">
        <v>1.0000000000000001E-5</v>
      </c>
      <c r="AE33" s="499">
        <v>1.0000000000000001E-5</v>
      </c>
      <c r="AF33" s="499">
        <v>1.0000000000000001E-5</v>
      </c>
      <c r="AG33" s="499">
        <v>1.0000000000000001E-5</v>
      </c>
      <c r="AH33" s="499">
        <v>1.0000000000000001E-5</v>
      </c>
      <c r="AI33" s="499">
        <v>1.0000000000000001E-5</v>
      </c>
      <c r="AJ33" s="499">
        <v>1.0000000000000001E-5</v>
      </c>
      <c r="AK33"/>
    </row>
    <row r="34" spans="1:39" s="18" customFormat="1">
      <c r="A34" s="17" t="s">
        <v>662</v>
      </c>
      <c r="B34"/>
      <c r="C34"/>
      <c r="D34"/>
      <c r="E34"/>
      <c r="F34"/>
      <c r="G34" s="525">
        <v>1.0000000000000001E-5</v>
      </c>
      <c r="H34" s="525">
        <v>1.0000000000000001E-5</v>
      </c>
      <c r="I34" s="525">
        <v>1.0000000000000001E-5</v>
      </c>
      <c r="J34" s="525">
        <v>1.0000000000000001E-5</v>
      </c>
      <c r="K34" s="525">
        <v>1.0000000000000001E-5</v>
      </c>
      <c r="L34" s="525">
        <v>1.0000000000000001E-5</v>
      </c>
      <c r="M34" s="525">
        <v>1.0000000000000001E-5</v>
      </c>
      <c r="N34" s="525">
        <v>1.0000000000000001E-5</v>
      </c>
      <c r="O34" s="525">
        <v>1.0000000000000001E-5</v>
      </c>
      <c r="P34" s="525">
        <v>1.0000000000000001E-5</v>
      </c>
      <c r="Q34" s="525">
        <v>1.0000000000000001E-5</v>
      </c>
      <c r="R34" s="525">
        <v>1.0000000000000001E-5</v>
      </c>
      <c r="S34" s="525">
        <v>1.0000000000000001E-5</v>
      </c>
      <c r="T34" s="525">
        <v>1.0000000000000001E-5</v>
      </c>
      <c r="U34" s="525">
        <v>1.0000000000000001E-5</v>
      </c>
      <c r="V34" s="525">
        <v>1.0000000000000001E-5</v>
      </c>
      <c r="W34" s="525">
        <v>1.0000000000000001E-5</v>
      </c>
      <c r="X34" s="525">
        <v>1.0000000000000001E-5</v>
      </c>
      <c r="Y34" s="525">
        <v>1.0000000000000001E-5</v>
      </c>
      <c r="Z34" s="525">
        <v>1.0000000000000001E-5</v>
      </c>
      <c r="AA34" s="525">
        <v>1.0000000000000001E-5</v>
      </c>
      <c r="AB34" s="525">
        <v>1.0000000000000001E-5</v>
      </c>
      <c r="AC34" s="525">
        <v>1.0000000000000001E-5</v>
      </c>
      <c r="AD34" s="525">
        <v>1.0000000000000001E-5</v>
      </c>
      <c r="AE34" s="525">
        <v>1.0000000000000001E-5</v>
      </c>
      <c r="AF34" s="525">
        <v>1.0000000000000001E-5</v>
      </c>
      <c r="AG34" s="525">
        <v>1.0000000000000001E-5</v>
      </c>
      <c r="AH34" s="525">
        <v>1.0000000000000001E-5</v>
      </c>
      <c r="AI34" s="525">
        <v>1.0000000000000001E-5</v>
      </c>
      <c r="AJ34" s="525">
        <v>1.0000000000000001E-5</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499">
        <v>1.0000000000000001E-5</v>
      </c>
      <c r="H54" s="499">
        <v>1.0000000000000001E-5</v>
      </c>
      <c r="I54" s="499">
        <v>1.0000000000000001E-5</v>
      </c>
      <c r="J54" s="499">
        <v>1.0000000000000001E-5</v>
      </c>
      <c r="K54" s="499">
        <v>1.0000000000000001E-5</v>
      </c>
      <c r="L54" s="499">
        <v>1.0000000000000001E-5</v>
      </c>
      <c r="M54" s="499">
        <v>1.0000000000000001E-5</v>
      </c>
      <c r="N54" s="499">
        <v>1.0000000000000001E-5</v>
      </c>
      <c r="O54" s="499">
        <v>1.0000000000000001E-5</v>
      </c>
      <c r="P54" s="499">
        <v>1.0000000000000001E-5</v>
      </c>
      <c r="Q54" s="499">
        <v>1.0000000000000001E-5</v>
      </c>
      <c r="R54" s="499">
        <v>1.0000000000000001E-5</v>
      </c>
      <c r="S54" s="499">
        <v>1.0000000000000001E-5</v>
      </c>
      <c r="T54" s="499">
        <v>1.0000000000000001E-5</v>
      </c>
      <c r="U54" s="499">
        <v>1.0000000000000001E-5</v>
      </c>
      <c r="V54" s="499">
        <v>1.0000000000000001E-5</v>
      </c>
      <c r="W54" s="499">
        <v>1.0000000000000001E-5</v>
      </c>
      <c r="X54" s="499">
        <v>1.0000000000000001E-5</v>
      </c>
      <c r="Y54" s="499">
        <v>1.0000000000000001E-5</v>
      </c>
      <c r="Z54" s="499">
        <v>1.0000000000000001E-5</v>
      </c>
      <c r="AA54" s="499">
        <v>1.0000000000000001E-5</v>
      </c>
      <c r="AB54" s="499">
        <v>1.0000000000000001E-5</v>
      </c>
      <c r="AC54" s="499">
        <v>1.0000000000000001E-5</v>
      </c>
      <c r="AD54" s="499">
        <v>1.0000000000000001E-5</v>
      </c>
      <c r="AE54" s="499">
        <v>1.0000000000000001E-5</v>
      </c>
      <c r="AF54" s="499">
        <v>1.0000000000000001E-5</v>
      </c>
      <c r="AG54" s="499">
        <v>1.0000000000000001E-5</v>
      </c>
      <c r="AH54" s="499">
        <v>1.0000000000000001E-5</v>
      </c>
      <c r="AI54" s="499">
        <v>1.0000000000000001E-5</v>
      </c>
      <c r="AJ54" s="499">
        <v>1.0000000000000001E-5</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745</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757</v>
      </c>
    </row>
    <row r="60" spans="1:39">
      <c r="A60" s="501" t="s">
        <v>734</v>
      </c>
      <c r="G60" s="499">
        <v>9.8215380000000003</v>
      </c>
      <c r="H60" s="499">
        <v>7.7055229999999995</v>
      </c>
      <c r="I60" s="499">
        <v>9.8931500000000003</v>
      </c>
      <c r="J60" s="499">
        <v>10.593752</v>
      </c>
      <c r="K60" s="499">
        <v>11.244422</v>
      </c>
      <c r="L60" s="499">
        <v>11.44342</v>
      </c>
      <c r="M60" s="499">
        <v>12.605084999999999</v>
      </c>
      <c r="N60" s="499">
        <v>12.605084999999999</v>
      </c>
      <c r="O60" s="499">
        <v>12.605084999999999</v>
      </c>
      <c r="P60" s="499">
        <v>12.605084000000002</v>
      </c>
      <c r="Q60" s="499">
        <v>12.758178000000001</v>
      </c>
      <c r="R60" s="499">
        <v>12.758178000000001</v>
      </c>
      <c r="S60" s="499">
        <v>13.294426999999999</v>
      </c>
      <c r="T60" s="499">
        <v>13.294426999999999</v>
      </c>
      <c r="U60" s="499">
        <v>13.294426999999999</v>
      </c>
      <c r="V60" s="499">
        <v>13.294426999999999</v>
      </c>
      <c r="W60" s="499">
        <v>13.294426999999999</v>
      </c>
      <c r="X60" s="499">
        <v>13.380386999999999</v>
      </c>
      <c r="Y60" s="499">
        <v>13.380386999999999</v>
      </c>
      <c r="Z60" s="499">
        <v>13.436328</v>
      </c>
      <c r="AA60" s="499">
        <v>13.601866000000001</v>
      </c>
      <c r="AB60" s="499">
        <v>13.746514999999999</v>
      </c>
      <c r="AC60" s="499">
        <v>13.746514999999999</v>
      </c>
      <c r="AD60" s="499">
        <v>13.944156</v>
      </c>
      <c r="AE60" s="499">
        <v>14.119804999999999</v>
      </c>
      <c r="AF60" s="499">
        <v>14.191604000000002</v>
      </c>
      <c r="AG60" s="499">
        <v>14.191604000000002</v>
      </c>
      <c r="AH60" s="499">
        <v>14.191604000000002</v>
      </c>
      <c r="AI60" s="499">
        <v>14.191604000000002</v>
      </c>
      <c r="AJ60" s="499">
        <v>14.191604000000002</v>
      </c>
      <c r="AK60" s="503">
        <v>4.0000000000000001E-3</v>
      </c>
      <c r="AL60" s="508" t="s">
        <v>728</v>
      </c>
      <c r="AM60" s="29">
        <v>9.9999999999999995E-7</v>
      </c>
    </row>
    <row r="61" spans="1:39">
      <c r="A61" s="501" t="s">
        <v>735</v>
      </c>
      <c r="G61" s="499">
        <v>1E-4</v>
      </c>
      <c r="H61" s="499">
        <v>1E-4</v>
      </c>
      <c r="I61" s="499">
        <v>1E-4</v>
      </c>
      <c r="J61" s="499">
        <v>1E-4</v>
      </c>
      <c r="K61" s="499">
        <v>1E-4</v>
      </c>
      <c r="L61" s="499">
        <v>1E-4</v>
      </c>
      <c r="M61" s="499">
        <v>1E-4</v>
      </c>
      <c r="N61" s="499">
        <v>1E-4</v>
      </c>
      <c r="O61" s="499">
        <v>1E-4</v>
      </c>
      <c r="P61" s="499">
        <v>1E-4</v>
      </c>
      <c r="Q61" s="499">
        <v>1E-4</v>
      </c>
      <c r="R61" s="499">
        <v>1E-4</v>
      </c>
      <c r="S61" s="499">
        <v>1E-4</v>
      </c>
      <c r="T61" s="499">
        <v>1E-4</v>
      </c>
      <c r="U61" s="499">
        <v>1E-4</v>
      </c>
      <c r="V61" s="499">
        <v>1E-4</v>
      </c>
      <c r="W61" s="499">
        <v>1E-4</v>
      </c>
      <c r="X61" s="499">
        <v>1E-4</v>
      </c>
      <c r="Y61" s="499">
        <v>1E-4</v>
      </c>
      <c r="Z61" s="499">
        <v>1E-4</v>
      </c>
      <c r="AA61" s="499">
        <v>1E-4</v>
      </c>
      <c r="AB61" s="499">
        <v>1E-4</v>
      </c>
      <c r="AC61" s="499">
        <v>1E-4</v>
      </c>
      <c r="AD61" s="499">
        <v>1E-4</v>
      </c>
      <c r="AE61" s="499">
        <v>1E-4</v>
      </c>
      <c r="AF61" s="499">
        <v>1E-4</v>
      </c>
      <c r="AG61" s="499">
        <v>1E-4</v>
      </c>
      <c r="AH61" s="499">
        <v>1E-4</v>
      </c>
      <c r="AI61" s="499">
        <v>1E-4</v>
      </c>
      <c r="AJ61" s="499">
        <v>1E-4</v>
      </c>
      <c r="AK61" s="499" t="s">
        <v>41</v>
      </c>
      <c r="AL61" s="508" t="s">
        <v>729</v>
      </c>
      <c r="AM61" s="29">
        <v>0.20913671214361718</v>
      </c>
    </row>
    <row r="62" spans="1:39">
      <c r="A62" s="501" t="s">
        <v>736</v>
      </c>
      <c r="G62" s="499">
        <v>4.420585</v>
      </c>
      <c r="H62" s="499">
        <v>4.8728860000000003</v>
      </c>
      <c r="I62" s="499">
        <v>5.9408130000000003</v>
      </c>
      <c r="J62" s="499">
        <v>5.964995</v>
      </c>
      <c r="K62" s="499">
        <v>5.9276689999999999</v>
      </c>
      <c r="L62" s="499">
        <v>5.9280160000000004</v>
      </c>
      <c r="M62" s="499">
        <v>5.9282140000000005</v>
      </c>
      <c r="N62" s="499">
        <v>5.928134</v>
      </c>
      <c r="O62" s="499">
        <v>5.9278469999999999</v>
      </c>
      <c r="P62" s="499">
        <v>5.9270630000000004</v>
      </c>
      <c r="Q62" s="499">
        <v>5.9266079999999999</v>
      </c>
      <c r="R62" s="499">
        <v>5.9261970000000002</v>
      </c>
      <c r="S62" s="499">
        <v>5.9257340000000003</v>
      </c>
      <c r="T62" s="499">
        <v>5.9914560000000003</v>
      </c>
      <c r="U62" s="499">
        <v>5.9911790000000007</v>
      </c>
      <c r="V62" s="499">
        <v>5.9907900000000005</v>
      </c>
      <c r="W62" s="499">
        <v>5.9903769999999996</v>
      </c>
      <c r="X62" s="499">
        <v>5.9899379999999995</v>
      </c>
      <c r="Y62" s="499">
        <v>5.989026</v>
      </c>
      <c r="Z62" s="499">
        <v>5.9879519999999999</v>
      </c>
      <c r="AA62" s="499">
        <v>5.9869700000000003</v>
      </c>
      <c r="AB62" s="499">
        <v>5.9859590000000003</v>
      </c>
      <c r="AC62" s="499">
        <v>5.9849180000000004</v>
      </c>
      <c r="AD62" s="499">
        <v>6.1133790000000001</v>
      </c>
      <c r="AE62" s="499">
        <v>6.1128049999999998</v>
      </c>
      <c r="AF62" s="499">
        <v>6.1121630000000007</v>
      </c>
      <c r="AG62" s="499">
        <v>6.1114839999999999</v>
      </c>
      <c r="AH62" s="499">
        <v>6.1108529999999996</v>
      </c>
      <c r="AI62" s="499">
        <v>6.1102360000000004</v>
      </c>
      <c r="AJ62" s="499">
        <v>6.1096870000000001</v>
      </c>
      <c r="AK62" s="503">
        <v>4.0000000000000001E-3</v>
      </c>
      <c r="AL62" s="508" t="s">
        <v>730</v>
      </c>
      <c r="AM62" s="29">
        <v>0</v>
      </c>
    </row>
    <row r="63" spans="1:39">
      <c r="A63" s="501" t="s">
        <v>737</v>
      </c>
      <c r="G63" s="499">
        <v>1.399089</v>
      </c>
      <c r="H63" s="499">
        <v>1.3473730000000002</v>
      </c>
      <c r="I63" s="499">
        <v>1.4659610000000001</v>
      </c>
      <c r="J63" s="499">
        <v>1.6648689999999999</v>
      </c>
      <c r="K63" s="499">
        <v>1.9661019999999998</v>
      </c>
      <c r="L63" s="499">
        <v>2.7700170000000002</v>
      </c>
      <c r="M63" s="499">
        <v>5.180968</v>
      </c>
      <c r="N63" s="499">
        <v>8.601642</v>
      </c>
      <c r="O63" s="499">
        <v>8.6526069999999997</v>
      </c>
      <c r="P63" s="499">
        <v>9.4050900000000013</v>
      </c>
      <c r="Q63" s="499">
        <v>9.8504959999999997</v>
      </c>
      <c r="R63" s="499">
        <v>10.600919000000001</v>
      </c>
      <c r="S63" s="499">
        <v>13.035772</v>
      </c>
      <c r="T63" s="499">
        <v>13.165647999999999</v>
      </c>
      <c r="U63" s="499">
        <v>14.561133000000002</v>
      </c>
      <c r="V63" s="499">
        <v>14.825056999999999</v>
      </c>
      <c r="W63" s="499">
        <v>14.852137000000001</v>
      </c>
      <c r="X63" s="499">
        <v>15.195461999999999</v>
      </c>
      <c r="Y63" s="499">
        <v>15.447913</v>
      </c>
      <c r="Z63" s="499">
        <v>17.377988999999999</v>
      </c>
      <c r="AA63" s="499">
        <v>18.612911</v>
      </c>
      <c r="AB63" s="499">
        <v>19.046157000000001</v>
      </c>
      <c r="AC63" s="499">
        <v>19.126007999999999</v>
      </c>
      <c r="AD63" s="499">
        <v>19.178376</v>
      </c>
      <c r="AE63" s="499">
        <v>19.190023</v>
      </c>
      <c r="AF63" s="499">
        <v>19.109304999999999</v>
      </c>
      <c r="AG63" s="499">
        <v>19.221747000000001</v>
      </c>
      <c r="AH63" s="499">
        <v>19.334365000000002</v>
      </c>
      <c r="AI63" s="499">
        <v>19.320990000000002</v>
      </c>
      <c r="AJ63" s="499">
        <v>19.370069999999998</v>
      </c>
      <c r="AK63" s="503">
        <v>1.7999999999999999E-2</v>
      </c>
      <c r="AL63" s="508" t="s">
        <v>143</v>
      </c>
      <c r="AM63" s="29">
        <v>0.25</v>
      </c>
    </row>
    <row r="64" spans="1:39">
      <c r="A64" s="501" t="s">
        <v>738</v>
      </c>
      <c r="G64" s="499">
        <v>0.874865</v>
      </c>
      <c r="H64" s="499">
        <v>1.7395580000000002</v>
      </c>
      <c r="I64" s="499">
        <v>2.505557</v>
      </c>
      <c r="J64" s="499">
        <v>3.2208000000000001</v>
      </c>
      <c r="K64" s="499">
        <v>3.9420599999999997</v>
      </c>
      <c r="L64" s="499">
        <v>4.6265770000000002</v>
      </c>
      <c r="M64" s="499">
        <v>4.6541629999999996</v>
      </c>
      <c r="N64" s="499">
        <v>4.699179</v>
      </c>
      <c r="O64" s="499">
        <v>4.7753269999999999</v>
      </c>
      <c r="P64" s="499">
        <v>4.896191</v>
      </c>
      <c r="Q64" s="499">
        <v>5.0366669999999996</v>
      </c>
      <c r="R64" s="499">
        <v>5.1880280000000001</v>
      </c>
      <c r="S64" s="499">
        <v>5.3521670000000006</v>
      </c>
      <c r="T64" s="499">
        <v>5.536835</v>
      </c>
      <c r="U64" s="499">
        <v>5.7506490000000001</v>
      </c>
      <c r="V64" s="499">
        <v>5.9746129999999997</v>
      </c>
      <c r="W64" s="499">
        <v>6.2148059999999994</v>
      </c>
      <c r="X64" s="499">
        <v>6.4645420000000007</v>
      </c>
      <c r="Y64" s="499">
        <v>6.726013</v>
      </c>
      <c r="Z64" s="499">
        <v>7.0083009999999994</v>
      </c>
      <c r="AA64" s="499">
        <v>7.2977869999999996</v>
      </c>
      <c r="AB64" s="499">
        <v>7.5884020000000003</v>
      </c>
      <c r="AC64" s="499">
        <v>7.8846759999999998</v>
      </c>
      <c r="AD64" s="499">
        <v>8.2081979999999994</v>
      </c>
      <c r="AE64" s="499">
        <v>8.5440940000000012</v>
      </c>
      <c r="AF64" s="499">
        <v>8.8906949999999991</v>
      </c>
      <c r="AG64" s="499">
        <v>9.2457689999999992</v>
      </c>
      <c r="AH64" s="499">
        <v>9.6072590000000009</v>
      </c>
      <c r="AI64" s="499">
        <v>9.9771289999999997</v>
      </c>
      <c r="AJ64" s="499">
        <v>10.360859000000001</v>
      </c>
      <c r="AK64" s="503">
        <v>7.0000000000000007E-2</v>
      </c>
      <c r="AL64" s="508" t="s">
        <v>731</v>
      </c>
      <c r="AM64" s="29">
        <v>1.5625E-4</v>
      </c>
    </row>
    <row r="65" spans="1:44">
      <c r="A65" s="501" t="s">
        <v>739</v>
      </c>
      <c r="G65" s="499">
        <v>12.539147</v>
      </c>
      <c r="H65" s="499">
        <v>14.796927999999999</v>
      </c>
      <c r="I65" s="499">
        <v>17.007448</v>
      </c>
      <c r="J65" s="499">
        <v>17.048107999999999</v>
      </c>
      <c r="K65" s="499">
        <v>17.166049999999998</v>
      </c>
      <c r="L65" s="499">
        <v>17.273971</v>
      </c>
      <c r="M65" s="499">
        <v>17.2727</v>
      </c>
      <c r="N65" s="499">
        <v>17.270510999999999</v>
      </c>
      <c r="O65" s="499">
        <v>17.268740999999999</v>
      </c>
      <c r="P65" s="499">
        <v>17.274557000000001</v>
      </c>
      <c r="Q65" s="499">
        <v>17.276361999999999</v>
      </c>
      <c r="R65" s="499">
        <v>17.278380000000002</v>
      </c>
      <c r="S65" s="499">
        <v>17.280798000000001</v>
      </c>
      <c r="T65" s="499">
        <v>17.291643000000001</v>
      </c>
      <c r="U65" s="499">
        <v>17.307338000000001</v>
      </c>
      <c r="V65" s="499">
        <v>17.331841000000001</v>
      </c>
      <c r="W65" s="499">
        <v>17.358896999999999</v>
      </c>
      <c r="X65" s="499">
        <v>17.385591999999999</v>
      </c>
      <c r="Y65" s="499">
        <v>17.413271000000002</v>
      </c>
      <c r="Z65" s="499">
        <v>17.445</v>
      </c>
      <c r="AA65" s="499">
        <v>17.470669999999998</v>
      </c>
      <c r="AB65" s="499">
        <v>17.496019</v>
      </c>
      <c r="AC65" s="499">
        <v>17.544440000000002</v>
      </c>
      <c r="AD65" s="499">
        <v>17.623866</v>
      </c>
      <c r="AE65" s="499">
        <v>17.678328</v>
      </c>
      <c r="AF65" s="499">
        <v>17.712706000000001</v>
      </c>
      <c r="AG65" s="499">
        <v>17.814340999999999</v>
      </c>
      <c r="AH65" s="499">
        <v>17.890840000000001</v>
      </c>
      <c r="AI65" s="499">
        <v>18.045925999999998</v>
      </c>
      <c r="AJ65" s="499">
        <v>18.262554999999999</v>
      </c>
      <c r="AK65" s="503">
        <v>7.2999999999999995E-2</v>
      </c>
      <c r="AL65" s="508" t="s">
        <v>732</v>
      </c>
      <c r="AM65" s="29">
        <v>1.0000000000000001E-5</v>
      </c>
    </row>
    <row r="66" spans="1:44">
      <c r="A66" s="502" t="s">
        <v>740</v>
      </c>
      <c r="G66" s="500">
        <v>29.055223999999999</v>
      </c>
      <c r="H66" s="500">
        <v>30.462267000000001</v>
      </c>
      <c r="I66" s="500">
        <v>36.812928999999997</v>
      </c>
      <c r="J66" s="500">
        <v>38.492525000000001</v>
      </c>
      <c r="K66" s="500">
        <v>40.246302</v>
      </c>
      <c r="L66" s="500">
        <v>42.042001999999997</v>
      </c>
      <c r="M66" s="500">
        <v>45.641128999999999</v>
      </c>
      <c r="N66" s="500">
        <v>49.104549000000006</v>
      </c>
      <c r="O66" s="500">
        <v>49.229607000000001</v>
      </c>
      <c r="P66" s="500">
        <v>50.107984000000002</v>
      </c>
      <c r="Q66" s="500">
        <v>50.848313000000005</v>
      </c>
      <c r="R66" s="500">
        <v>51.751705000000001</v>
      </c>
      <c r="S66" s="500">
        <v>54.888897</v>
      </c>
      <c r="T66" s="500">
        <v>55.280011999999999</v>
      </c>
      <c r="U66" s="500">
        <v>56.904719999999998</v>
      </c>
      <c r="V66" s="500">
        <v>57.416725</v>
      </c>
      <c r="W66" s="500">
        <v>57.710644000000002</v>
      </c>
      <c r="X66" s="500">
        <v>58.415923000000006</v>
      </c>
      <c r="Y66" s="500">
        <v>58.956609999999998</v>
      </c>
      <c r="Z66" s="500">
        <v>61.255569000000001</v>
      </c>
      <c r="AA66" s="500">
        <v>62.970205</v>
      </c>
      <c r="AB66" s="500">
        <v>63.863051999999996</v>
      </c>
      <c r="AC66" s="500">
        <v>64.28655599999999</v>
      </c>
      <c r="AD66" s="500">
        <v>65.067972999999995</v>
      </c>
      <c r="AE66" s="500">
        <v>65.645055999999997</v>
      </c>
      <c r="AF66" s="500">
        <v>66.016472000000007</v>
      </c>
      <c r="AG66" s="500">
        <v>66.584946000000002</v>
      </c>
      <c r="AH66" s="500">
        <v>67.134925999999993</v>
      </c>
      <c r="AI66" s="500">
        <v>67.645887000000002</v>
      </c>
      <c r="AJ66" s="500">
        <v>68.294772999999992</v>
      </c>
      <c r="AK66" s="504">
        <v>2.1999999999999999E-2</v>
      </c>
      <c r="AL66" s="508" t="s">
        <v>733</v>
      </c>
      <c r="AM66" s="29">
        <v>0</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0.138212283199073</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582</v>
      </c>
      <c r="AB70" s="319" t="s">
        <v>583</v>
      </c>
      <c r="AC70" s="319" t="s">
        <v>584</v>
      </c>
      <c r="AD70" s="319" t="s">
        <v>585</v>
      </c>
      <c r="AE70" s="319" t="s">
        <v>586</v>
      </c>
      <c r="AF70" s="319" t="s">
        <v>587</v>
      </c>
      <c r="AG70" s="319" t="s">
        <v>588</v>
      </c>
      <c r="AH70" s="319" t="s">
        <v>589</v>
      </c>
      <c r="AI70" s="319" t="s">
        <v>590</v>
      </c>
      <c r="AJ70" s="319" t="s">
        <v>591</v>
      </c>
      <c r="AK70" s="319" t="s">
        <v>594</v>
      </c>
      <c r="AM70" s="90" t="s">
        <v>752</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728</v>
      </c>
      <c r="AN72" s="18">
        <v>0</v>
      </c>
      <c r="AO72" s="18">
        <v>0</v>
      </c>
      <c r="AP72" s="18">
        <v>0</v>
      </c>
      <c r="AQ72" s="18">
        <v>0</v>
      </c>
      <c r="AR72" s="18">
        <v>0</v>
      </c>
    </row>
    <row r="73" spans="1:44" s="18" customFormat="1">
      <c r="A73" s="17" t="s">
        <v>49</v>
      </c>
      <c r="B73" s="491">
        <f>AN73</f>
        <v>1.5720000000000001</v>
      </c>
      <c r="C73" s="491">
        <f t="shared" ref="C73:F73" si="0">AO73</f>
        <v>1.254</v>
      </c>
      <c r="D73" s="491">
        <f t="shared" si="0"/>
        <v>1.248</v>
      </c>
      <c r="E73" s="491">
        <f t="shared" si="0"/>
        <v>1.6459999999999999</v>
      </c>
      <c r="F73" s="491">
        <f t="shared" si="0"/>
        <v>1.367</v>
      </c>
      <c r="G73" s="484">
        <f t="shared" ref="G73:AJ73" si="1">G60*$AM61</f>
        <v>2.0540441655135977</v>
      </c>
      <c r="H73" s="484">
        <f t="shared" si="1"/>
        <v>1.6115077455670213</v>
      </c>
      <c r="I73" s="484">
        <f t="shared" si="1"/>
        <v>2.0690208637436265</v>
      </c>
      <c r="J73" s="484">
        <f t="shared" si="1"/>
        <v>2.2155424625448688</v>
      </c>
      <c r="K73" s="484">
        <f t="shared" si="1"/>
        <v>2.351621447035356</v>
      </c>
      <c r="L73" s="484">
        <f t="shared" si="1"/>
        <v>2.3932392344785116</v>
      </c>
      <c r="M73" s="484">
        <f t="shared" si="1"/>
        <v>2.6361860331908264</v>
      </c>
      <c r="N73" s="484">
        <f t="shared" si="1"/>
        <v>2.6361860331908264</v>
      </c>
      <c r="O73" s="484">
        <f t="shared" si="1"/>
        <v>2.6361860331908264</v>
      </c>
      <c r="P73" s="484">
        <f t="shared" si="1"/>
        <v>2.6361858240541149</v>
      </c>
      <c r="Q73" s="484">
        <f t="shared" si="1"/>
        <v>2.6682033998630299</v>
      </c>
      <c r="R73" s="484">
        <f t="shared" si="1"/>
        <v>2.6682033998630299</v>
      </c>
      <c r="S73" s="484">
        <f t="shared" si="1"/>
        <v>2.7803527526133318</v>
      </c>
      <c r="T73" s="484">
        <f t="shared" si="1"/>
        <v>2.7803527526133318</v>
      </c>
      <c r="U73" s="484">
        <f t="shared" si="1"/>
        <v>2.7803527526133318</v>
      </c>
      <c r="V73" s="484">
        <f t="shared" si="1"/>
        <v>2.7803527526133318</v>
      </c>
      <c r="W73" s="484">
        <f t="shared" si="1"/>
        <v>2.7803527526133318</v>
      </c>
      <c r="X73" s="484">
        <f t="shared" si="1"/>
        <v>2.798330144389197</v>
      </c>
      <c r="Y73" s="484">
        <f t="shared" si="1"/>
        <v>2.798330144389197</v>
      </c>
      <c r="Z73" s="484">
        <f t="shared" si="1"/>
        <v>2.8100294612032233</v>
      </c>
      <c r="AA73" s="484">
        <f t="shared" si="1"/>
        <v>2.8446495342580538</v>
      </c>
      <c r="AB73" s="484">
        <f t="shared" si="1"/>
        <v>2.8749009505329153</v>
      </c>
      <c r="AC73" s="484">
        <f t="shared" si="1"/>
        <v>2.8749009505329153</v>
      </c>
      <c r="AD73" s="484">
        <f t="shared" si="1"/>
        <v>2.9162349394576923</v>
      </c>
      <c r="AE73" s="484">
        <f t="shared" si="1"/>
        <v>2.9529695938090064</v>
      </c>
      <c r="AF73" s="484">
        <f t="shared" si="1"/>
        <v>2.9679854006042063</v>
      </c>
      <c r="AG73" s="484">
        <f t="shared" si="1"/>
        <v>2.9679854006042063</v>
      </c>
      <c r="AH73" s="484">
        <f t="shared" si="1"/>
        <v>2.9679854006042063</v>
      </c>
      <c r="AI73" s="484">
        <f t="shared" si="1"/>
        <v>2.9679854006042063</v>
      </c>
      <c r="AJ73" s="484">
        <f t="shared" si="1"/>
        <v>2.9679854006042063</v>
      </c>
      <c r="AK73" s="485"/>
      <c r="AM73" s="18" t="s">
        <v>729</v>
      </c>
      <c r="AN73" s="18">
        <v>1.5720000000000001</v>
      </c>
      <c r="AO73" s="18">
        <v>1.254</v>
      </c>
      <c r="AP73" s="18">
        <v>1.248</v>
      </c>
      <c r="AQ73" s="18">
        <v>1.6459999999999999</v>
      </c>
      <c r="AR73" s="18">
        <v>1.367</v>
      </c>
    </row>
    <row r="74" spans="1:44" s="18" customFormat="1">
      <c r="A74" s="17" t="s">
        <v>50</v>
      </c>
      <c r="B74" s="491">
        <f>AN72</f>
        <v>0</v>
      </c>
      <c r="C74" s="491">
        <f t="shared" ref="C74:F74" si="2">AO72</f>
        <v>0</v>
      </c>
      <c r="D74" s="491">
        <f t="shared" si="2"/>
        <v>0</v>
      </c>
      <c r="E74" s="491">
        <f t="shared" si="2"/>
        <v>0</v>
      </c>
      <c r="F74" s="491">
        <f t="shared" si="2"/>
        <v>0</v>
      </c>
      <c r="G74" s="484">
        <f t="shared" ref="G74:AJ74" si="3">G61*$AM60</f>
        <v>1E-10</v>
      </c>
      <c r="H74" s="484">
        <f t="shared" si="3"/>
        <v>1E-10</v>
      </c>
      <c r="I74" s="484">
        <f t="shared" si="3"/>
        <v>1E-10</v>
      </c>
      <c r="J74" s="484">
        <f t="shared" si="3"/>
        <v>1E-10</v>
      </c>
      <c r="K74" s="484">
        <f t="shared" si="3"/>
        <v>1E-10</v>
      </c>
      <c r="L74" s="484">
        <f t="shared" si="3"/>
        <v>1E-10</v>
      </c>
      <c r="M74" s="484">
        <f t="shared" si="3"/>
        <v>1E-10</v>
      </c>
      <c r="N74" s="484">
        <f t="shared" si="3"/>
        <v>1E-10</v>
      </c>
      <c r="O74" s="484">
        <f t="shared" si="3"/>
        <v>1E-10</v>
      </c>
      <c r="P74" s="484">
        <f t="shared" si="3"/>
        <v>1E-10</v>
      </c>
      <c r="Q74" s="484">
        <f t="shared" si="3"/>
        <v>1E-10</v>
      </c>
      <c r="R74" s="484">
        <f t="shared" si="3"/>
        <v>1E-10</v>
      </c>
      <c r="S74" s="484">
        <f t="shared" si="3"/>
        <v>1E-10</v>
      </c>
      <c r="T74" s="484">
        <f t="shared" si="3"/>
        <v>1E-10</v>
      </c>
      <c r="U74" s="484">
        <f t="shared" si="3"/>
        <v>1E-10</v>
      </c>
      <c r="V74" s="484">
        <f t="shared" si="3"/>
        <v>1E-10</v>
      </c>
      <c r="W74" s="484">
        <f t="shared" si="3"/>
        <v>1E-10</v>
      </c>
      <c r="X74" s="484">
        <f t="shared" si="3"/>
        <v>1E-10</v>
      </c>
      <c r="Y74" s="484">
        <f t="shared" si="3"/>
        <v>1E-10</v>
      </c>
      <c r="Z74" s="484">
        <f t="shared" si="3"/>
        <v>1E-10</v>
      </c>
      <c r="AA74" s="484">
        <f t="shared" si="3"/>
        <v>1E-10</v>
      </c>
      <c r="AB74" s="484">
        <f t="shared" si="3"/>
        <v>1E-10</v>
      </c>
      <c r="AC74" s="484">
        <f t="shared" si="3"/>
        <v>1E-10</v>
      </c>
      <c r="AD74" s="484">
        <f t="shared" si="3"/>
        <v>1E-10</v>
      </c>
      <c r="AE74" s="484">
        <f t="shared" si="3"/>
        <v>1E-10</v>
      </c>
      <c r="AF74" s="484">
        <f t="shared" si="3"/>
        <v>1E-10</v>
      </c>
      <c r="AG74" s="484">
        <f t="shared" si="3"/>
        <v>1E-10</v>
      </c>
      <c r="AH74" s="484">
        <f t="shared" si="3"/>
        <v>1E-10</v>
      </c>
      <c r="AI74" s="484">
        <f t="shared" si="3"/>
        <v>1E-10</v>
      </c>
      <c r="AJ74" s="484">
        <f t="shared" si="3"/>
        <v>1E-10</v>
      </c>
      <c r="AK74" s="485"/>
      <c r="AM74" s="18" t="s">
        <v>730</v>
      </c>
      <c r="AN74" s="18">
        <v>0</v>
      </c>
      <c r="AO74" s="18">
        <v>0</v>
      </c>
      <c r="AP74" s="18">
        <v>0</v>
      </c>
      <c r="AQ74" s="18">
        <v>0</v>
      </c>
      <c r="AR74" s="18">
        <v>0</v>
      </c>
    </row>
    <row r="75" spans="1:44" s="18" customFormat="1">
      <c r="A75" s="17" t="s">
        <v>51</v>
      </c>
      <c r="B75" s="491">
        <f>AN77</f>
        <v>0</v>
      </c>
      <c r="C75" s="491">
        <f t="shared" ref="C75:F75" si="4">AO77</f>
        <v>0</v>
      </c>
      <c r="D75" s="491">
        <f t="shared" si="4"/>
        <v>0</v>
      </c>
      <c r="E75" s="491">
        <f t="shared" si="4"/>
        <v>0</v>
      </c>
      <c r="F75" s="491">
        <f t="shared" si="4"/>
        <v>0</v>
      </c>
      <c r="G75" s="484">
        <f t="shared" ref="G75:AJ75" si="5">G62*$AM65</f>
        <v>4.4205850000000006E-5</v>
      </c>
      <c r="H75" s="484">
        <f t="shared" si="5"/>
        <v>4.8728860000000004E-5</v>
      </c>
      <c r="I75" s="484">
        <f t="shared" si="5"/>
        <v>5.9408130000000007E-5</v>
      </c>
      <c r="J75" s="484">
        <f t="shared" si="5"/>
        <v>5.9649950000000003E-5</v>
      </c>
      <c r="K75" s="484">
        <f t="shared" si="5"/>
        <v>5.927669E-5</v>
      </c>
      <c r="L75" s="484">
        <f t="shared" si="5"/>
        <v>5.9280160000000006E-5</v>
      </c>
      <c r="M75" s="484">
        <f t="shared" si="5"/>
        <v>5.9282140000000009E-5</v>
      </c>
      <c r="N75" s="484">
        <f t="shared" si="5"/>
        <v>5.9281340000000007E-5</v>
      </c>
      <c r="O75" s="484">
        <f t="shared" si="5"/>
        <v>5.9278470000000003E-5</v>
      </c>
      <c r="P75" s="484">
        <f t="shared" si="5"/>
        <v>5.927063000000001E-5</v>
      </c>
      <c r="Q75" s="484">
        <f t="shared" si="5"/>
        <v>5.9266080000000004E-5</v>
      </c>
      <c r="R75" s="484">
        <f t="shared" si="5"/>
        <v>5.9261970000000008E-5</v>
      </c>
      <c r="S75" s="484">
        <f t="shared" si="5"/>
        <v>5.9257340000000009E-5</v>
      </c>
      <c r="T75" s="484">
        <f t="shared" si="5"/>
        <v>5.9914560000000008E-5</v>
      </c>
      <c r="U75" s="484">
        <f t="shared" si="5"/>
        <v>5.9911790000000011E-5</v>
      </c>
      <c r="V75" s="484">
        <f t="shared" si="5"/>
        <v>5.990790000000001E-5</v>
      </c>
      <c r="W75" s="484">
        <f t="shared" si="5"/>
        <v>5.9903769999999999E-5</v>
      </c>
      <c r="X75" s="484">
        <f t="shared" si="5"/>
        <v>5.9899380000000003E-5</v>
      </c>
      <c r="Y75" s="484">
        <f t="shared" si="5"/>
        <v>5.9890260000000002E-5</v>
      </c>
      <c r="Z75" s="484">
        <f t="shared" si="5"/>
        <v>5.9879520000000003E-5</v>
      </c>
      <c r="AA75" s="484">
        <f t="shared" si="5"/>
        <v>5.9869700000000007E-5</v>
      </c>
      <c r="AB75" s="484">
        <f t="shared" si="5"/>
        <v>5.9859590000000005E-5</v>
      </c>
      <c r="AC75" s="484">
        <f t="shared" si="5"/>
        <v>5.9849180000000008E-5</v>
      </c>
      <c r="AD75" s="484">
        <f t="shared" si="5"/>
        <v>6.113379E-5</v>
      </c>
      <c r="AE75" s="484">
        <f t="shared" si="5"/>
        <v>6.1128050000000005E-5</v>
      </c>
      <c r="AF75" s="484">
        <f t="shared" si="5"/>
        <v>6.1121630000000017E-5</v>
      </c>
      <c r="AG75" s="484">
        <f t="shared" si="5"/>
        <v>6.1114840000000003E-5</v>
      </c>
      <c r="AH75" s="484">
        <f t="shared" si="5"/>
        <v>6.1108529999999995E-5</v>
      </c>
      <c r="AI75" s="484">
        <f t="shared" si="5"/>
        <v>6.110236000000001E-5</v>
      </c>
      <c r="AJ75" s="484">
        <f t="shared" si="5"/>
        <v>6.1096870000000006E-5</v>
      </c>
      <c r="AK75" s="485"/>
      <c r="AM75" s="18" t="s">
        <v>143</v>
      </c>
      <c r="AN75" s="18">
        <v>0.17399999999999999</v>
      </c>
      <c r="AO75" s="18">
        <v>0.16800000000000001</v>
      </c>
      <c r="AP75" s="18">
        <v>0.39200000000000002</v>
      </c>
      <c r="AQ75" s="18">
        <v>0.74199999999999999</v>
      </c>
      <c r="AR75" s="18">
        <v>0.93899999999999995</v>
      </c>
    </row>
    <row r="76" spans="1:44" s="18" customFormat="1">
      <c r="A76" s="17" t="s">
        <v>56</v>
      </c>
      <c r="B76" s="492">
        <f>AN76</f>
        <v>0</v>
      </c>
      <c r="C76" s="492">
        <f t="shared" ref="C76:F76" si="6">AO76</f>
        <v>0</v>
      </c>
      <c r="D76" s="492">
        <f t="shared" si="6"/>
        <v>0</v>
      </c>
      <c r="E76" s="492">
        <f t="shared" si="6"/>
        <v>1E-3</v>
      </c>
      <c r="F76" s="492">
        <f t="shared" si="6"/>
        <v>0</v>
      </c>
      <c r="G76" s="492">
        <f>G63*$AM$64</f>
        <v>2.1860765625000001E-4</v>
      </c>
      <c r="H76" s="492">
        <f>H63*$AM$64</f>
        <v>2.1052703125000002E-4</v>
      </c>
      <c r="I76" s="492">
        <f t="shared" ref="I76:AJ76" si="7">I63*$AM$64</f>
        <v>2.2905640625000003E-4</v>
      </c>
      <c r="J76" s="492">
        <f t="shared" si="7"/>
        <v>2.6013578125000001E-4</v>
      </c>
      <c r="K76" s="492">
        <f t="shared" si="7"/>
        <v>3.0720343749999997E-4</v>
      </c>
      <c r="L76" s="492">
        <f t="shared" si="7"/>
        <v>4.3281515625000005E-4</v>
      </c>
      <c r="M76" s="492">
        <f t="shared" si="7"/>
        <v>8.0952625000000006E-4</v>
      </c>
      <c r="N76" s="492">
        <f t="shared" si="7"/>
        <v>1.3440065624999999E-3</v>
      </c>
      <c r="O76" s="492">
        <f t="shared" si="7"/>
        <v>1.3519698437499999E-3</v>
      </c>
      <c r="P76" s="492">
        <f t="shared" si="7"/>
        <v>1.4695453125000003E-3</v>
      </c>
      <c r="Q76" s="492">
        <f t="shared" si="7"/>
        <v>1.53914E-3</v>
      </c>
      <c r="R76" s="492">
        <f t="shared" si="7"/>
        <v>1.6563935937500003E-3</v>
      </c>
      <c r="S76" s="492">
        <f t="shared" si="7"/>
        <v>2.0368393750000002E-3</v>
      </c>
      <c r="T76" s="492">
        <f t="shared" si="7"/>
        <v>2.0571324999999999E-3</v>
      </c>
      <c r="U76" s="492">
        <f t="shared" si="7"/>
        <v>2.2751770312500002E-3</v>
      </c>
      <c r="V76" s="492">
        <f t="shared" si="7"/>
        <v>2.31641515625E-3</v>
      </c>
      <c r="W76" s="492">
        <f t="shared" si="7"/>
        <v>2.3206464062500002E-3</v>
      </c>
      <c r="X76" s="492">
        <f t="shared" si="7"/>
        <v>2.3742909374999998E-3</v>
      </c>
      <c r="Y76" s="492">
        <f t="shared" si="7"/>
        <v>2.4137364062499999E-3</v>
      </c>
      <c r="Z76" s="492">
        <f t="shared" si="7"/>
        <v>2.7153107812499999E-3</v>
      </c>
      <c r="AA76" s="492">
        <f t="shared" si="7"/>
        <v>2.9082673437500002E-3</v>
      </c>
      <c r="AB76" s="492">
        <f t="shared" si="7"/>
        <v>2.9759620312500004E-3</v>
      </c>
      <c r="AC76" s="492">
        <f t="shared" si="7"/>
        <v>2.98843875E-3</v>
      </c>
      <c r="AD76" s="492">
        <f t="shared" si="7"/>
        <v>2.99662125E-3</v>
      </c>
      <c r="AE76" s="492">
        <f t="shared" si="7"/>
        <v>2.9984410937500001E-3</v>
      </c>
      <c r="AF76" s="492">
        <f t="shared" si="7"/>
        <v>2.9858289062499998E-3</v>
      </c>
      <c r="AG76" s="492">
        <f t="shared" si="7"/>
        <v>3.00339796875E-3</v>
      </c>
      <c r="AH76" s="492">
        <f t="shared" si="7"/>
        <v>3.0209945312500005E-3</v>
      </c>
      <c r="AI76" s="492">
        <f t="shared" si="7"/>
        <v>3.0189046875000003E-3</v>
      </c>
      <c r="AJ76" s="492">
        <f t="shared" si="7"/>
        <v>3.0265734374999996E-3</v>
      </c>
      <c r="AK76" s="485"/>
      <c r="AM76" s="18" t="s">
        <v>747</v>
      </c>
      <c r="AN76" s="18">
        <v>0</v>
      </c>
      <c r="AO76" s="18">
        <v>0</v>
      </c>
      <c r="AP76" s="18">
        <v>0</v>
      </c>
      <c r="AQ76" s="18">
        <v>1E-3</v>
      </c>
      <c r="AR76" s="18">
        <v>0</v>
      </c>
    </row>
    <row r="77" spans="1:44" s="18" customFormat="1">
      <c r="A77" s="17" t="s">
        <v>52</v>
      </c>
      <c r="B77" s="491">
        <f>AN74</f>
        <v>0</v>
      </c>
      <c r="C77" s="491">
        <f t="shared" ref="C77:F77" si="8">AO74</f>
        <v>0</v>
      </c>
      <c r="D77" s="491">
        <f t="shared" si="8"/>
        <v>0</v>
      </c>
      <c r="E77" s="491">
        <f t="shared" si="8"/>
        <v>0</v>
      </c>
      <c r="F77" s="491">
        <f t="shared" si="8"/>
        <v>0</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753</v>
      </c>
      <c r="AN77" s="18">
        <v>0</v>
      </c>
      <c r="AO77" s="18">
        <v>0</v>
      </c>
      <c r="AP77" s="18">
        <v>0</v>
      </c>
      <c r="AQ77" s="18">
        <v>0</v>
      </c>
      <c r="AR77" s="18">
        <v>0</v>
      </c>
    </row>
    <row r="78" spans="1:44" s="18" customFormat="1">
      <c r="A78" s="17" t="s">
        <v>53</v>
      </c>
      <c r="B78" s="491">
        <f>AN75</f>
        <v>0.17399999999999999</v>
      </c>
      <c r="C78" s="491">
        <f t="shared" ref="C78:F78" si="10">AO75</f>
        <v>0.16800000000000001</v>
      </c>
      <c r="D78" s="491">
        <f t="shared" si="10"/>
        <v>0.39200000000000002</v>
      </c>
      <c r="E78" s="491">
        <f t="shared" si="10"/>
        <v>0.74199999999999999</v>
      </c>
      <c r="F78" s="491">
        <f t="shared" si="10"/>
        <v>0.93899999999999995</v>
      </c>
      <c r="G78" s="484">
        <f t="shared" ref="G78:AJ78" si="11">G65*$AM63</f>
        <v>3.13478675</v>
      </c>
      <c r="H78" s="484">
        <f t="shared" si="11"/>
        <v>3.6992319999999999</v>
      </c>
      <c r="I78" s="484">
        <f t="shared" si="11"/>
        <v>4.251862</v>
      </c>
      <c r="J78" s="484">
        <f t="shared" si="11"/>
        <v>4.2620269999999998</v>
      </c>
      <c r="K78" s="484">
        <f t="shared" si="11"/>
        <v>4.2915124999999996</v>
      </c>
      <c r="L78" s="484">
        <f t="shared" si="11"/>
        <v>4.3184927499999999</v>
      </c>
      <c r="M78" s="484">
        <f t="shared" si="11"/>
        <v>4.3181750000000001</v>
      </c>
      <c r="N78" s="484">
        <f t="shared" si="11"/>
        <v>4.3176277499999998</v>
      </c>
      <c r="O78" s="484">
        <f t="shared" si="11"/>
        <v>4.3171852499999996</v>
      </c>
      <c r="P78" s="484">
        <f t="shared" si="11"/>
        <v>4.3186392500000004</v>
      </c>
      <c r="Q78" s="484">
        <f t="shared" si="11"/>
        <v>4.3190904999999997</v>
      </c>
      <c r="R78" s="484">
        <f t="shared" si="11"/>
        <v>4.3195950000000005</v>
      </c>
      <c r="S78" s="484">
        <f t="shared" si="11"/>
        <v>4.3201995000000002</v>
      </c>
      <c r="T78" s="484">
        <f t="shared" si="11"/>
        <v>4.3229107500000001</v>
      </c>
      <c r="U78" s="484">
        <f t="shared" si="11"/>
        <v>4.3268345000000004</v>
      </c>
      <c r="V78" s="484">
        <f t="shared" si="11"/>
        <v>4.3329602500000002</v>
      </c>
      <c r="W78" s="484">
        <f t="shared" si="11"/>
        <v>4.3397242499999997</v>
      </c>
      <c r="X78" s="484">
        <f t="shared" si="11"/>
        <v>4.3463979999999998</v>
      </c>
      <c r="Y78" s="484">
        <f t="shared" si="11"/>
        <v>4.3533177500000004</v>
      </c>
      <c r="Z78" s="484">
        <f t="shared" si="11"/>
        <v>4.3612500000000001</v>
      </c>
      <c r="AA78" s="484">
        <f t="shared" si="11"/>
        <v>4.3676674999999996</v>
      </c>
      <c r="AB78" s="484">
        <f t="shared" si="11"/>
        <v>4.3740047500000001</v>
      </c>
      <c r="AC78" s="484">
        <f t="shared" si="11"/>
        <v>4.3861100000000004</v>
      </c>
      <c r="AD78" s="484">
        <f t="shared" si="11"/>
        <v>4.4059664999999999</v>
      </c>
      <c r="AE78" s="484">
        <f t="shared" si="11"/>
        <v>4.4195820000000001</v>
      </c>
      <c r="AF78" s="484">
        <f t="shared" si="11"/>
        <v>4.4281765000000002</v>
      </c>
      <c r="AG78" s="484">
        <f t="shared" si="11"/>
        <v>4.4535852499999997</v>
      </c>
      <c r="AH78" s="484">
        <f t="shared" si="11"/>
        <v>4.4727100000000002</v>
      </c>
      <c r="AI78" s="484">
        <f t="shared" si="11"/>
        <v>4.5114814999999995</v>
      </c>
      <c r="AJ78" s="484">
        <f t="shared" si="11"/>
        <v>4.5656387499999997</v>
      </c>
      <c r="AK78" s="485"/>
      <c r="AM78" s="18" t="s">
        <v>754</v>
      </c>
      <c r="AN78" s="18">
        <v>0</v>
      </c>
      <c r="AO78" s="18">
        <v>0</v>
      </c>
      <c r="AP78" s="18">
        <v>0</v>
      </c>
      <c r="AQ78" s="18">
        <v>0</v>
      </c>
      <c r="AR78" s="18">
        <v>0</v>
      </c>
    </row>
    <row r="79" spans="1:44" s="18" customFormat="1">
      <c r="A79" s="17" t="s">
        <v>54</v>
      </c>
      <c r="B79" s="493">
        <f>AN79</f>
        <v>1.746</v>
      </c>
      <c r="C79" s="493">
        <f t="shared" ref="C79:F79" si="12">AO79</f>
        <v>1.4219999999999999</v>
      </c>
      <c r="D79" s="493">
        <f t="shared" si="12"/>
        <v>1.64</v>
      </c>
      <c r="E79" s="493">
        <f t="shared" si="12"/>
        <v>2.3879999999999999</v>
      </c>
      <c r="F79" s="493">
        <f t="shared" si="12"/>
        <v>2.3069999999999999</v>
      </c>
      <c r="G79" s="486">
        <f>SUM(G73:G78)</f>
        <v>5.1890937291198478</v>
      </c>
      <c r="H79" s="486">
        <f t="shared" ref="H79:AJ79" si="13">SUM(H73:H78)</f>
        <v>5.3109990015582706</v>
      </c>
      <c r="I79" s="486">
        <f t="shared" si="13"/>
        <v>6.3211713283798758</v>
      </c>
      <c r="J79" s="486">
        <f t="shared" si="13"/>
        <v>6.477889248376119</v>
      </c>
      <c r="K79" s="486">
        <f t="shared" si="13"/>
        <v>6.6435004272628557</v>
      </c>
      <c r="L79" s="486">
        <f t="shared" si="13"/>
        <v>6.7122240798947619</v>
      </c>
      <c r="M79" s="486">
        <f t="shared" si="13"/>
        <v>6.9552298416808265</v>
      </c>
      <c r="N79" s="486">
        <f t="shared" si="13"/>
        <v>6.9552170711933261</v>
      </c>
      <c r="O79" s="486">
        <f t="shared" si="13"/>
        <v>6.9547825316045762</v>
      </c>
      <c r="P79" s="486">
        <f t="shared" si="13"/>
        <v>6.9563538900966151</v>
      </c>
      <c r="Q79" s="486">
        <f t="shared" si="13"/>
        <v>6.9888923060430299</v>
      </c>
      <c r="R79" s="486">
        <f t="shared" si="13"/>
        <v>6.9895140555267812</v>
      </c>
      <c r="S79" s="486">
        <f t="shared" si="13"/>
        <v>7.1026483494283319</v>
      </c>
      <c r="T79" s="486">
        <f t="shared" si="13"/>
        <v>7.105380549773332</v>
      </c>
      <c r="U79" s="486">
        <f t="shared" si="13"/>
        <v>7.1095223415345821</v>
      </c>
      <c r="V79" s="486">
        <f t="shared" si="13"/>
        <v>7.1156893257695817</v>
      </c>
      <c r="W79" s="486">
        <f t="shared" si="13"/>
        <v>7.1224575528895819</v>
      </c>
      <c r="X79" s="486">
        <f t="shared" si="13"/>
        <v>7.1471623348066968</v>
      </c>
      <c r="Y79" s="486">
        <f t="shared" si="13"/>
        <v>7.1541215211554476</v>
      </c>
      <c r="Z79" s="486">
        <f t="shared" si="13"/>
        <v>7.1740546516044734</v>
      </c>
      <c r="AA79" s="486">
        <f t="shared" si="13"/>
        <v>7.2152851714018027</v>
      </c>
      <c r="AB79" s="486">
        <f t="shared" si="13"/>
        <v>7.2519415222541657</v>
      </c>
      <c r="AC79" s="486">
        <f t="shared" si="13"/>
        <v>7.2640592385629157</v>
      </c>
      <c r="AD79" s="486">
        <f t="shared" si="13"/>
        <v>7.3252591945976917</v>
      </c>
      <c r="AE79" s="486">
        <f t="shared" si="13"/>
        <v>7.3756111630527563</v>
      </c>
      <c r="AF79" s="486">
        <f t="shared" si="13"/>
        <v>7.3992088512404566</v>
      </c>
      <c r="AG79" s="486">
        <f t="shared" si="13"/>
        <v>7.4246351635129564</v>
      </c>
      <c r="AH79" s="486">
        <f t="shared" si="13"/>
        <v>7.4437775037654568</v>
      </c>
      <c r="AI79" s="486">
        <f t="shared" si="13"/>
        <v>7.4825469077517059</v>
      </c>
      <c r="AJ79" s="486">
        <f t="shared" si="13"/>
        <v>7.5367118210117061</v>
      </c>
      <c r="AK79" s="487"/>
      <c r="AM79" s="18" t="s">
        <v>58</v>
      </c>
      <c r="AN79" s="18">
        <v>1.746</v>
      </c>
      <c r="AO79" s="18">
        <v>1.4219999999999999</v>
      </c>
      <c r="AP79" s="18">
        <v>1.64</v>
      </c>
      <c r="AQ79" s="18">
        <v>2.3879999999999999</v>
      </c>
      <c r="AR79" s="18">
        <v>2.3069999999999999</v>
      </c>
    </row>
    <row r="80" spans="1:44" s="255" customFormat="1">
      <c r="A80" s="254" t="s">
        <v>57</v>
      </c>
      <c r="B80" s="474">
        <f>B79*1000</f>
        <v>1746</v>
      </c>
      <c r="C80" s="474">
        <f t="shared" ref="C80:AJ80" si="14">C79*1000</f>
        <v>1422</v>
      </c>
      <c r="D80" s="474">
        <f t="shared" si="14"/>
        <v>1640</v>
      </c>
      <c r="E80" s="474">
        <f t="shared" si="14"/>
        <v>2388</v>
      </c>
      <c r="F80" s="474">
        <f t="shared" si="14"/>
        <v>2307</v>
      </c>
      <c r="G80" s="276">
        <f t="shared" si="14"/>
        <v>5189.0937291198479</v>
      </c>
      <c r="H80" s="276">
        <f t="shared" si="14"/>
        <v>5310.9990015582707</v>
      </c>
      <c r="I80" s="276">
        <f t="shared" si="14"/>
        <v>6321.1713283798763</v>
      </c>
      <c r="J80" s="276">
        <f t="shared" si="14"/>
        <v>6477.8892483761192</v>
      </c>
      <c r="K80" s="276">
        <f t="shared" si="14"/>
        <v>6643.5004272628557</v>
      </c>
      <c r="L80" s="276">
        <f t="shared" si="14"/>
        <v>6712.2240798947623</v>
      </c>
      <c r="M80" s="276">
        <f t="shared" si="14"/>
        <v>6955.2298416808262</v>
      </c>
      <c r="N80" s="276">
        <f t="shared" si="14"/>
        <v>6955.2170711933259</v>
      </c>
      <c r="O80" s="276">
        <f t="shared" si="14"/>
        <v>6954.7825316045764</v>
      </c>
      <c r="P80" s="276">
        <f t="shared" si="14"/>
        <v>6956.353890096615</v>
      </c>
      <c r="Q80" s="276">
        <f t="shared" si="14"/>
        <v>6988.8923060430297</v>
      </c>
      <c r="R80" s="276">
        <f t="shared" si="14"/>
        <v>6989.5140555267808</v>
      </c>
      <c r="S80" s="276">
        <f t="shared" si="14"/>
        <v>7102.648349428332</v>
      </c>
      <c r="T80" s="276">
        <f t="shared" si="14"/>
        <v>7105.3805497733319</v>
      </c>
      <c r="U80" s="276">
        <f t="shared" si="14"/>
        <v>7109.5223415345818</v>
      </c>
      <c r="V80" s="276">
        <f t="shared" si="14"/>
        <v>7115.689325769582</v>
      </c>
      <c r="W80" s="276">
        <f t="shared" si="14"/>
        <v>7122.4575528895821</v>
      </c>
      <c r="X80" s="276">
        <f t="shared" si="14"/>
        <v>7147.1623348066969</v>
      </c>
      <c r="Y80" s="276">
        <f t="shared" si="14"/>
        <v>7154.1215211554472</v>
      </c>
      <c r="Z80" s="276">
        <f t="shared" si="14"/>
        <v>7174.0546516044733</v>
      </c>
      <c r="AA80" s="276">
        <f t="shared" si="14"/>
        <v>7215.2851714018025</v>
      </c>
      <c r="AB80" s="276">
        <f t="shared" si="14"/>
        <v>7251.9415222541656</v>
      </c>
      <c r="AC80" s="276">
        <f t="shared" si="14"/>
        <v>7264.0592385629161</v>
      </c>
      <c r="AD80" s="276">
        <f t="shared" si="14"/>
        <v>7325.2591945976919</v>
      </c>
      <c r="AE80" s="276">
        <f t="shared" si="14"/>
        <v>7375.6111630527566</v>
      </c>
      <c r="AF80" s="276">
        <f t="shared" si="14"/>
        <v>7399.2088512404562</v>
      </c>
      <c r="AG80" s="276">
        <f t="shared" si="14"/>
        <v>7424.6351635129568</v>
      </c>
      <c r="AH80" s="276">
        <f t="shared" si="14"/>
        <v>7443.7775037654565</v>
      </c>
      <c r="AI80" s="276">
        <f t="shared" si="14"/>
        <v>7482.5469077517064</v>
      </c>
      <c r="AJ80" s="276">
        <f t="shared" si="14"/>
        <v>7536.711821011706</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3.1897422344088852E-11</v>
      </c>
      <c r="H81" s="260">
        <f t="shared" si="15"/>
        <v>2.703074371051751E-11</v>
      </c>
      <c r="I81" s="260">
        <f t="shared" si="15"/>
        <v>2.3517512099270105E-11</v>
      </c>
      <c r="J81" s="260">
        <f t="shared" si="15"/>
        <v>2.3461253864283555E-11</v>
      </c>
      <c r="K81" s="260">
        <f t="shared" si="15"/>
        <v>2.3299818205661358E-11</v>
      </c>
      <c r="L81" s="260">
        <f t="shared" si="15"/>
        <v>2.315358899814855E-11</v>
      </c>
      <c r="M81" s="260">
        <f t="shared" si="15"/>
        <v>2.3153272908098019E-11</v>
      </c>
      <c r="N81" s="260">
        <f t="shared" si="15"/>
        <v>2.315334136756952E-11</v>
      </c>
      <c r="O81" s="260">
        <f t="shared" si="15"/>
        <v>2.3155671069693753E-11</v>
      </c>
      <c r="P81" s="260">
        <f t="shared" si="15"/>
        <v>2.3147247623541004E-11</v>
      </c>
      <c r="Q81" s="260">
        <f t="shared" si="15"/>
        <v>2.3144457324147374E-11</v>
      </c>
      <c r="R81" s="260">
        <f t="shared" ref="R81:AJ82" si="16">R74/SUM(R$74:R$78)</f>
        <v>2.3141127303341275E-11</v>
      </c>
      <c r="S81" s="260">
        <f t="shared" si="16"/>
        <v>2.3135854029439285E-11</v>
      </c>
      <c r="T81" s="260">
        <f t="shared" si="16"/>
        <v>2.3121238680977803E-11</v>
      </c>
      <c r="U81" s="260">
        <f t="shared" si="16"/>
        <v>2.3099118190220439E-11</v>
      </c>
      <c r="V81" s="260">
        <f t="shared" si="16"/>
        <v>2.3066259865308937E-11</v>
      </c>
      <c r="W81" s="260">
        <f t="shared" si="16"/>
        <v>2.3030305485403735E-11</v>
      </c>
      <c r="X81" s="260">
        <f t="shared" si="16"/>
        <v>2.2994678944003985E-11</v>
      </c>
      <c r="Y81" s="260">
        <f t="shared" si="16"/>
        <v>2.2957940670299099E-11</v>
      </c>
      <c r="Z81" s="260">
        <f t="shared" si="16"/>
        <v>2.2914624833044446E-11</v>
      </c>
      <c r="AA81" s="260">
        <f t="shared" si="16"/>
        <v>2.2879967195195189E-11</v>
      </c>
      <c r="AB81" s="260">
        <f t="shared" si="16"/>
        <v>2.2846486881129249E-11</v>
      </c>
      <c r="AC81" s="260">
        <f t="shared" si="16"/>
        <v>2.2783411633323284E-11</v>
      </c>
      <c r="AD81" s="260">
        <f t="shared" si="16"/>
        <v>2.2680755244977596E-11</v>
      </c>
      <c r="AE81" s="260">
        <f t="shared" si="16"/>
        <v>2.2610921195926693E-11</v>
      </c>
      <c r="AF81" s="260">
        <f t="shared" si="16"/>
        <v>2.256713097725678E-11</v>
      </c>
      <c r="AG81" s="260">
        <f t="shared" si="16"/>
        <v>2.2438379796471232E-11</v>
      </c>
      <c r="AH81" s="260">
        <f t="shared" si="16"/>
        <v>2.2342413967210417E-11</v>
      </c>
      <c r="AI81" s="260">
        <f t="shared" si="16"/>
        <v>2.2150545483028416E-11</v>
      </c>
      <c r="AJ81" s="260">
        <f t="shared" si="16"/>
        <v>2.1887937862359612E-11</v>
      </c>
      <c r="AK81" s="322"/>
    </row>
    <row r="82" spans="1:37" s="256" customFormat="1">
      <c r="A82" s="257" t="s">
        <v>340</v>
      </c>
      <c r="B82" s="260">
        <f t="shared" si="15"/>
        <v>0</v>
      </c>
      <c r="C82" s="260">
        <f t="shared" ref="C82:AA82" si="17">C75/SUM(C$74:C$78)</f>
        <v>0</v>
      </c>
      <c r="D82" s="260">
        <f t="shared" si="17"/>
        <v>0</v>
      </c>
      <c r="E82" s="260">
        <f t="shared" si="17"/>
        <v>0</v>
      </c>
      <c r="F82" s="260">
        <f t="shared" si="17"/>
        <v>0</v>
      </c>
      <c r="G82" s="260">
        <f t="shared" si="17"/>
        <v>1.4100526675294403E-5</v>
      </c>
      <c r="H82" s="260">
        <f t="shared" si="17"/>
        <v>1.3171773259656884E-5</v>
      </c>
      <c r="I82" s="260">
        <f t="shared" si="17"/>
        <v>1.3971314160700113E-5</v>
      </c>
      <c r="J82" s="260">
        <f t="shared" si="17"/>
        <v>1.3994626199418209E-5</v>
      </c>
      <c r="K82" s="260">
        <f t="shared" si="17"/>
        <v>1.3811361008333445E-5</v>
      </c>
      <c r="L82" s="260">
        <f t="shared" si="17"/>
        <v>1.3725484603844857E-5</v>
      </c>
      <c r="M82" s="260">
        <f t="shared" si="17"/>
        <v>1.372575565996074E-5</v>
      </c>
      <c r="N82" s="260">
        <f t="shared" si="17"/>
        <v>1.3725611017469539E-5</v>
      </c>
      <c r="O82" s="260">
        <f t="shared" si="17"/>
        <v>1.372632752834709E-5</v>
      </c>
      <c r="P82" s="261">
        <f t="shared" si="17"/>
        <v>1.3719519494132784E-5</v>
      </c>
      <c r="Q82" s="260">
        <f t="shared" si="17"/>
        <v>1.3716812593295041E-5</v>
      </c>
      <c r="R82" s="260">
        <f t="shared" si="17"/>
        <v>1.3713887920167917E-5</v>
      </c>
      <c r="S82" s="260">
        <f t="shared" si="17"/>
        <v>1.3709691684128537E-5</v>
      </c>
      <c r="T82" s="260">
        <f t="shared" si="17"/>
        <v>1.3852988422257655E-5</v>
      </c>
      <c r="U82" s="260">
        <f t="shared" si="17"/>
        <v>1.3839095181976673E-5</v>
      </c>
      <c r="V82" s="260">
        <f t="shared" si="17"/>
        <v>1.3818511893849415E-5</v>
      </c>
      <c r="W82" s="260">
        <f t="shared" si="17"/>
        <v>1.3796021228273637E-5</v>
      </c>
      <c r="X82" s="260">
        <f t="shared" si="17"/>
        <v>1.3773670120448935E-5</v>
      </c>
      <c r="Y82" s="260">
        <f t="shared" si="17"/>
        <v>1.3749570358087874E-5</v>
      </c>
      <c r="Z82" s="260">
        <f t="shared" si="17"/>
        <v>1.3721167359827815E-5</v>
      </c>
      <c r="AA82" s="260">
        <f t="shared" si="17"/>
        <v>1.3698167719861774E-5</v>
      </c>
      <c r="AB82" s="260">
        <f t="shared" si="16"/>
        <v>1.3675813376447757E-5</v>
      </c>
      <c r="AC82" s="260">
        <f t="shared" si="16"/>
        <v>1.3635685038568593E-5</v>
      </c>
      <c r="AD82" s="260">
        <f t="shared" si="16"/>
        <v>1.3865605281878589E-5</v>
      </c>
      <c r="AE82" s="260">
        <f t="shared" si="16"/>
        <v>1.3821615214106667E-5</v>
      </c>
      <c r="AF82" s="260">
        <f t="shared" si="16"/>
        <v>1.3793398297534277E-5</v>
      </c>
      <c r="AG82" s="260">
        <f t="shared" si="16"/>
        <v>1.3713179911205719E-5</v>
      </c>
      <c r="AH82" s="260">
        <f t="shared" si="16"/>
        <v>1.3653120741876966E-5</v>
      </c>
      <c r="AI82" s="260">
        <f t="shared" si="16"/>
        <v>1.3534506043003763E-5</v>
      </c>
      <c r="AJ82" s="260">
        <f t="shared" si="16"/>
        <v>1.337284494144663E-5</v>
      </c>
      <c r="AK82" s="322"/>
    </row>
    <row r="83" spans="1:37" s="256" customFormat="1">
      <c r="A83" s="257" t="s">
        <v>336</v>
      </c>
      <c r="B83" s="260">
        <f>B76/SUM(B$74:B$78)</f>
        <v>0</v>
      </c>
      <c r="C83" s="260">
        <f t="shared" ref="C83:AJ83" si="18">C76/SUM(C$74:C$78)</f>
        <v>0</v>
      </c>
      <c r="D83" s="260">
        <f t="shared" si="18"/>
        <v>0</v>
      </c>
      <c r="E83" s="260">
        <f t="shared" si="18"/>
        <v>1.3458950201884253E-3</v>
      </c>
      <c r="F83" s="260">
        <f t="shared" si="18"/>
        <v>0</v>
      </c>
      <c r="G83" s="260">
        <f t="shared" si="18"/>
        <v>6.9730207390576444E-5</v>
      </c>
      <c r="H83" s="260">
        <f t="shared" si="18"/>
        <v>5.6907022258548611E-5</v>
      </c>
      <c r="I83" s="260">
        <f t="shared" si="18"/>
        <v>5.3868368053997042E-5</v>
      </c>
      <c r="J83" s="260">
        <f t="shared" si="18"/>
        <v>6.1031116030899846E-5</v>
      </c>
      <c r="K83" s="260">
        <f t="shared" si="18"/>
        <v>7.1577842459042505E-5</v>
      </c>
      <c r="L83" s="260">
        <f t="shared" si="18"/>
        <v>1.0021224239981946E-4</v>
      </c>
      <c r="M83" s="260">
        <f t="shared" si="18"/>
        <v>1.8743182192519184E-4</v>
      </c>
      <c r="N83" s="260">
        <f t="shared" si="18"/>
        <v>3.1118242741816159E-4</v>
      </c>
      <c r="O83" s="260">
        <f t="shared" si="18"/>
        <v>3.1305768998020252E-4</v>
      </c>
      <c r="P83" s="261">
        <f t="shared" si="18"/>
        <v>3.4015929242451454E-4</v>
      </c>
      <c r="Q83" s="260">
        <f t="shared" si="18"/>
        <v>3.5622560045888189E-4</v>
      </c>
      <c r="R83" s="260">
        <f t="shared" si="18"/>
        <v>3.8330815017407707E-4</v>
      </c>
      <c r="S83" s="260">
        <f t="shared" si="18"/>
        <v>4.7124018461414347E-4</v>
      </c>
      <c r="T83" s="260">
        <f t="shared" si="18"/>
        <v>4.7563451530896564E-4</v>
      </c>
      <c r="U83" s="260">
        <f t="shared" si="18"/>
        <v>5.2554583148518613E-4</v>
      </c>
      <c r="V83" s="260">
        <f t="shared" si="18"/>
        <v>5.3431033950002702E-4</v>
      </c>
      <c r="W83" s="260">
        <f t="shared" si="18"/>
        <v>5.3445195659541846E-4</v>
      </c>
      <c r="X83" s="260">
        <f t="shared" si="18"/>
        <v>5.4596057827470726E-4</v>
      </c>
      <c r="Y83" s="260">
        <f t="shared" si="18"/>
        <v>5.5414417208428455E-4</v>
      </c>
      <c r="Z83" s="260">
        <f t="shared" si="18"/>
        <v>6.2220327857464566E-4</v>
      </c>
      <c r="AA83" s="260">
        <f t="shared" si="18"/>
        <v>6.6541061419857445E-4</v>
      </c>
      <c r="AB83" s="260">
        <f t="shared" si="18"/>
        <v>6.7990277505691884E-4</v>
      </c>
      <c r="AC83" s="260">
        <f t="shared" si="18"/>
        <v>6.8086830182224087E-4</v>
      </c>
      <c r="AD83" s="260">
        <f t="shared" si="18"/>
        <v>6.7965633133148823E-4</v>
      </c>
      <c r="AE83" s="260">
        <f t="shared" si="18"/>
        <v>6.7797515281409486E-4</v>
      </c>
      <c r="AF83" s="260">
        <f t="shared" si="18"/>
        <v>6.7381592003023095E-4</v>
      </c>
      <c r="AG83" s="260">
        <f t="shared" si="18"/>
        <v>6.7391384302762736E-4</v>
      </c>
      <c r="AH83" s="260">
        <f t="shared" si="18"/>
        <v>6.7496310409866295E-4</v>
      </c>
      <c r="AI83" s="260">
        <f t="shared" si="18"/>
        <v>6.6870385589396441E-4</v>
      </c>
      <c r="AJ83" s="260">
        <f t="shared" si="18"/>
        <v>6.6245451335868112E-4</v>
      </c>
      <c r="AK83" s="322"/>
    </row>
    <row r="84" spans="1:37" s="256" customFormat="1">
      <c r="A84" s="257" t="s">
        <v>338</v>
      </c>
      <c r="B84" s="260">
        <f>B77/SUM(B$74:B$78)</f>
        <v>0</v>
      </c>
      <c r="C84" s="260">
        <f t="shared" ref="C84:AJ84" si="19">C77/SUM(C$74:C$78)</f>
        <v>0</v>
      </c>
      <c r="D84" s="260">
        <f t="shared" si="19"/>
        <v>0</v>
      </c>
      <c r="E84" s="260">
        <f t="shared" si="19"/>
        <v>0</v>
      </c>
      <c r="F84" s="260">
        <f t="shared" si="19"/>
        <v>0</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1</v>
      </c>
      <c r="C85" s="260">
        <f t="shared" ref="C85:AJ85" si="20">C78/SUM(C$74:C$78)</f>
        <v>1</v>
      </c>
      <c r="D85" s="260">
        <f t="shared" si="20"/>
        <v>1</v>
      </c>
      <c r="E85" s="260">
        <f t="shared" si="20"/>
        <v>0.99865410497981155</v>
      </c>
      <c r="F85" s="260">
        <f t="shared" si="20"/>
        <v>1</v>
      </c>
      <c r="G85" s="260">
        <f t="shared" si="20"/>
        <v>0.9999161692340367</v>
      </c>
      <c r="H85" s="260">
        <f t="shared" si="20"/>
        <v>0.99992992117745094</v>
      </c>
      <c r="I85" s="260">
        <f t="shared" si="20"/>
        <v>0.99993216029426779</v>
      </c>
      <c r="J85" s="260">
        <f t="shared" si="20"/>
        <v>0.99992497423430837</v>
      </c>
      <c r="K85" s="260">
        <f t="shared" si="20"/>
        <v>0.99991461077323274</v>
      </c>
      <c r="L85" s="260">
        <f t="shared" si="20"/>
        <v>0.99988606224984267</v>
      </c>
      <c r="M85" s="260">
        <f t="shared" si="20"/>
        <v>0.99979884239926164</v>
      </c>
      <c r="N85" s="260">
        <f t="shared" si="20"/>
        <v>0.99967509193841109</v>
      </c>
      <c r="O85" s="260">
        <f t="shared" si="20"/>
        <v>0.99967321595933578</v>
      </c>
      <c r="P85" s="261">
        <f t="shared" si="20"/>
        <v>0.99964612116493412</v>
      </c>
      <c r="Q85" s="260">
        <f t="shared" si="20"/>
        <v>0.9996300575638033</v>
      </c>
      <c r="R85" s="260">
        <f t="shared" si="20"/>
        <v>0.99960297793876463</v>
      </c>
      <c r="S85" s="260">
        <f t="shared" si="20"/>
        <v>0.99951505010056585</v>
      </c>
      <c r="T85" s="260">
        <f t="shared" si="20"/>
        <v>0.99951051247314759</v>
      </c>
      <c r="U85" s="260">
        <f t="shared" si="20"/>
        <v>0.99946061505023365</v>
      </c>
      <c r="V85" s="260">
        <f t="shared" si="20"/>
        <v>0.99945187112553979</v>
      </c>
      <c r="W85" s="260">
        <f t="shared" si="20"/>
        <v>0.99945175199914604</v>
      </c>
      <c r="X85" s="260">
        <f t="shared" si="20"/>
        <v>0.99944026572861022</v>
      </c>
      <c r="Y85" s="260">
        <f t="shared" si="20"/>
        <v>0.99943210623459977</v>
      </c>
      <c r="Z85" s="260">
        <f t="shared" si="20"/>
        <v>0.99936407553115092</v>
      </c>
      <c r="AA85" s="260">
        <f t="shared" si="20"/>
        <v>0.99932089119520162</v>
      </c>
      <c r="AB85" s="260">
        <f t="shared" si="20"/>
        <v>0.99930642138872017</v>
      </c>
      <c r="AC85" s="260">
        <f t="shared" si="20"/>
        <v>0.9993054959903559</v>
      </c>
      <c r="AD85" s="260">
        <f t="shared" si="20"/>
        <v>0.99930647804070583</v>
      </c>
      <c r="AE85" s="260">
        <f t="shared" si="20"/>
        <v>0.99930820320936087</v>
      </c>
      <c r="AF85" s="260">
        <f t="shared" si="20"/>
        <v>0.99931239065910504</v>
      </c>
      <c r="AG85" s="260">
        <f t="shared" si="20"/>
        <v>0.99931237295462272</v>
      </c>
      <c r="AH85" s="260">
        <f t="shared" si="20"/>
        <v>0.99931138375281703</v>
      </c>
      <c r="AI85" s="260">
        <f t="shared" si="20"/>
        <v>0.99931776161591246</v>
      </c>
      <c r="AJ85" s="260">
        <f t="shared" si="20"/>
        <v>0.99932417261981188</v>
      </c>
      <c r="AK85" s="322"/>
    </row>
    <row r="86" spans="1:37" s="256" customFormat="1">
      <c r="A86" s="256" t="s">
        <v>341</v>
      </c>
      <c r="B86" s="260">
        <f>SUM(B81:B85)</f>
        <v>1</v>
      </c>
      <c r="C86" s="260">
        <f t="shared" ref="C86:AJ86" si="21">SUM(C81:C85)</f>
        <v>1</v>
      </c>
      <c r="D86" s="260">
        <f t="shared" si="21"/>
        <v>1</v>
      </c>
      <c r="E86" s="260">
        <f t="shared" si="21"/>
        <v>1</v>
      </c>
      <c r="F86" s="260">
        <f t="shared" si="21"/>
        <v>1</v>
      </c>
      <c r="G86" s="260">
        <f t="shared" si="21"/>
        <v>1</v>
      </c>
      <c r="H86" s="260">
        <f t="shared" si="21"/>
        <v>0.99999999999999989</v>
      </c>
      <c r="I86" s="260">
        <f t="shared" si="21"/>
        <v>1</v>
      </c>
      <c r="J86" s="260">
        <f t="shared" si="21"/>
        <v>0.99999999999999989</v>
      </c>
      <c r="K86" s="260">
        <f t="shared" si="21"/>
        <v>0.99999999999999989</v>
      </c>
      <c r="L86" s="260">
        <f t="shared" si="21"/>
        <v>0.99999999999999989</v>
      </c>
      <c r="M86" s="260">
        <f t="shared" si="21"/>
        <v>1</v>
      </c>
      <c r="N86" s="260">
        <f t="shared" si="21"/>
        <v>1</v>
      </c>
      <c r="O86" s="260">
        <f t="shared" si="21"/>
        <v>1</v>
      </c>
      <c r="P86" s="260">
        <f t="shared" si="21"/>
        <v>1</v>
      </c>
      <c r="Q86" s="260">
        <f t="shared" si="21"/>
        <v>0.99999999999999989</v>
      </c>
      <c r="R86" s="260">
        <f t="shared" si="21"/>
        <v>1</v>
      </c>
      <c r="S86" s="260">
        <f t="shared" si="21"/>
        <v>1</v>
      </c>
      <c r="T86" s="260">
        <f t="shared" si="21"/>
        <v>1</v>
      </c>
      <c r="U86" s="260">
        <f t="shared" si="21"/>
        <v>0.99999999999999989</v>
      </c>
      <c r="V86" s="260">
        <f t="shared" si="21"/>
        <v>0.99999999999999989</v>
      </c>
      <c r="W86" s="260">
        <f t="shared" si="21"/>
        <v>1</v>
      </c>
      <c r="X86" s="260">
        <f t="shared" si="21"/>
        <v>1</v>
      </c>
      <c r="Y86" s="260">
        <f t="shared" si="21"/>
        <v>1</v>
      </c>
      <c r="Z86" s="260">
        <f t="shared" si="21"/>
        <v>1</v>
      </c>
      <c r="AA86" s="260">
        <f t="shared" si="21"/>
        <v>1</v>
      </c>
      <c r="AB86" s="260">
        <f t="shared" si="21"/>
        <v>1</v>
      </c>
      <c r="AC86" s="260">
        <f t="shared" si="21"/>
        <v>1.0000000000000002</v>
      </c>
      <c r="AD86" s="260">
        <f t="shared" si="21"/>
        <v>1</v>
      </c>
      <c r="AE86" s="260">
        <f t="shared" si="21"/>
        <v>1</v>
      </c>
      <c r="AF86" s="260">
        <f t="shared" si="21"/>
        <v>0.99999999999999989</v>
      </c>
      <c r="AG86" s="260">
        <f t="shared" si="21"/>
        <v>0.99999999999999989</v>
      </c>
      <c r="AH86" s="260">
        <f t="shared" si="21"/>
        <v>1</v>
      </c>
      <c r="AI86" s="260">
        <f t="shared" si="21"/>
        <v>1</v>
      </c>
      <c r="AJ86" s="260">
        <f t="shared" si="21"/>
        <v>1</v>
      </c>
      <c r="AK86" s="322"/>
    </row>
    <row r="87" spans="1:37">
      <c r="A87" s="563" t="s">
        <v>632</v>
      </c>
      <c r="B87" s="563"/>
      <c r="C87" s="563"/>
      <c r="D87" s="563"/>
      <c r="E87" s="563"/>
      <c r="F87" s="563"/>
      <c r="G87" s="563"/>
      <c r="H87" s="563"/>
      <c r="I87" s="563"/>
      <c r="J87" s="563"/>
      <c r="K87" s="563"/>
      <c r="L87" s="563"/>
      <c r="M87" s="563"/>
      <c r="N87" s="563"/>
      <c r="O87" s="563"/>
      <c r="P87" s="563"/>
      <c r="Q87" s="563"/>
      <c r="R87" s="563"/>
      <c r="S87" s="563"/>
      <c r="T87" s="563"/>
      <c r="U87" s="563"/>
      <c r="V87" s="563"/>
      <c r="W87" s="563"/>
      <c r="X87" s="563"/>
      <c r="Y87" s="563"/>
      <c r="Z87" s="563"/>
      <c r="AA87" s="563"/>
      <c r="AB87" s="563"/>
      <c r="AC87" s="563"/>
      <c r="AD87" s="563"/>
      <c r="AE87" s="563"/>
      <c r="AF87" s="563"/>
    </row>
    <row r="88" spans="1:37">
      <c r="A88" s="564" t="s">
        <v>665</v>
      </c>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row>
    <row r="89" spans="1:37">
      <c r="A89" s="564" t="s">
        <v>666</v>
      </c>
      <c r="B89" s="564"/>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row>
    <row r="90" spans="1:37">
      <c r="A90" s="564" t="s">
        <v>667</v>
      </c>
      <c r="B90" s="564"/>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row>
    <row r="91" spans="1:37">
      <c r="A91" s="564" t="s">
        <v>668</v>
      </c>
      <c r="B91" s="564"/>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row>
    <row r="92" spans="1:37">
      <c r="A92" s="564" t="s">
        <v>669</v>
      </c>
      <c r="B92" s="564"/>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row>
    <row r="93" spans="1:37">
      <c r="A93" s="564" t="s">
        <v>670</v>
      </c>
      <c r="B93" s="564"/>
      <c r="C93" s="564"/>
      <c r="D93" s="564"/>
      <c r="E93" s="5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row>
    <row r="94" spans="1:37">
      <c r="A94" s="564" t="s">
        <v>671</v>
      </c>
      <c r="B94" s="564"/>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c r="AD94" s="564"/>
      <c r="AE94" s="564"/>
      <c r="AF94" s="564"/>
    </row>
    <row r="95" spans="1:37">
      <c r="A95" s="564" t="s">
        <v>672</v>
      </c>
      <c r="B95" s="564"/>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c r="AD95" s="564"/>
      <c r="AE95" s="564"/>
      <c r="AF95" s="564"/>
    </row>
    <row r="96" spans="1:37">
      <c r="A96" s="564" t="s">
        <v>673</v>
      </c>
      <c r="B96" s="564"/>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row>
    <row r="97" spans="1:32">
      <c r="A97" s="564" t="s">
        <v>674</v>
      </c>
      <c r="B97" s="564"/>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row>
    <row r="98" spans="1:32">
      <c r="A98" s="564" t="s">
        <v>675</v>
      </c>
      <c r="B98" s="564"/>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row>
    <row r="99" spans="1:32">
      <c r="A99" s="564" t="s">
        <v>676</v>
      </c>
      <c r="B99" s="564"/>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c r="AF99" s="564"/>
    </row>
    <row r="100" spans="1:32">
      <c r="A100" s="564" t="s">
        <v>677</v>
      </c>
      <c r="B100" s="564"/>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c r="AD100" s="564"/>
      <c r="AE100" s="564"/>
      <c r="AF100" s="564"/>
    </row>
    <row r="101" spans="1:32">
      <c r="A101" s="564" t="s">
        <v>678</v>
      </c>
      <c r="B101" s="564"/>
      <c r="C101" s="564"/>
      <c r="D101" s="564"/>
      <c r="E101" s="564"/>
      <c r="F101" s="564"/>
      <c r="G101" s="564"/>
      <c r="H101" s="564"/>
      <c r="I101" s="564"/>
      <c r="J101" s="564"/>
      <c r="K101" s="564"/>
      <c r="L101" s="564"/>
      <c r="M101" s="564"/>
      <c r="N101" s="564"/>
      <c r="O101" s="564"/>
      <c r="P101" s="564"/>
      <c r="Q101" s="564"/>
      <c r="R101" s="564"/>
      <c r="S101" s="564"/>
      <c r="T101" s="564"/>
      <c r="U101" s="564"/>
      <c r="V101" s="564"/>
      <c r="W101" s="564"/>
      <c r="X101" s="564"/>
      <c r="Y101" s="564"/>
      <c r="Z101" s="564"/>
      <c r="AA101" s="564"/>
      <c r="AB101" s="564"/>
      <c r="AC101" s="564"/>
      <c r="AD101" s="564"/>
      <c r="AE101" s="564"/>
      <c r="AF101" s="564"/>
    </row>
    <row r="102" spans="1:32">
      <c r="A102" s="564" t="s">
        <v>679</v>
      </c>
      <c r="B102" s="564"/>
      <c r="C102" s="564"/>
      <c r="D102" s="564"/>
      <c r="E102" s="564"/>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564"/>
      <c r="AD102" s="564"/>
      <c r="AE102" s="564"/>
      <c r="AF102" s="564"/>
    </row>
    <row r="103" spans="1:32">
      <c r="A103" s="564" t="s">
        <v>680</v>
      </c>
      <c r="B103" s="564"/>
      <c r="C103" s="564"/>
      <c r="D103" s="564"/>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4"/>
      <c r="AD103" s="564"/>
      <c r="AE103" s="564"/>
      <c r="AF103" s="564"/>
    </row>
    <row r="104" spans="1:32">
      <c r="A104" s="564" t="s">
        <v>681</v>
      </c>
      <c r="B104" s="564"/>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row>
    <row r="105" spans="1:32">
      <c r="A105" s="564" t="s">
        <v>682</v>
      </c>
      <c r="B105" s="564"/>
      <c r="C105" s="564"/>
      <c r="D105" s="564"/>
      <c r="E105" s="564"/>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row>
    <row r="106" spans="1:32">
      <c r="A106" s="564" t="s">
        <v>683</v>
      </c>
      <c r="B106" s="564"/>
      <c r="C106" s="564"/>
      <c r="D106" s="564"/>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row>
    <row r="107" spans="1:32">
      <c r="A107" s="564" t="s">
        <v>684</v>
      </c>
      <c r="B107" s="564"/>
      <c r="C107" s="564"/>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row>
    <row r="108" spans="1:32">
      <c r="A108" s="564" t="s">
        <v>636</v>
      </c>
      <c r="B108" s="564"/>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row>
    <row r="109" spans="1:32">
      <c r="A109" s="564" t="s">
        <v>685</v>
      </c>
      <c r="B109" s="564"/>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row>
    <row r="110" spans="1:32">
      <c r="A110" s="564" t="s">
        <v>686</v>
      </c>
      <c r="B110" s="564"/>
      <c r="C110" s="564"/>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4"/>
      <c r="AD110" s="564"/>
      <c r="AE110" s="564"/>
      <c r="AF110" s="564"/>
    </row>
    <row r="111" spans="1:32">
      <c r="A111" s="564" t="s">
        <v>643</v>
      </c>
      <c r="B111" s="564"/>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4"/>
      <c r="Z111" s="564"/>
      <c r="AA111" s="564"/>
      <c r="AB111" s="564"/>
      <c r="AC111" s="564"/>
      <c r="AD111" s="564"/>
      <c r="AE111" s="564"/>
      <c r="AF111" s="564"/>
    </row>
    <row r="112" spans="1:32">
      <c r="A112" s="564" t="s">
        <v>644</v>
      </c>
      <c r="B112" s="564"/>
      <c r="C112" s="564"/>
      <c r="D112" s="56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row>
    <row r="113" spans="1:32">
      <c r="A113" s="564" t="s">
        <v>645</v>
      </c>
      <c r="B113" s="564"/>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64"/>
    </row>
    <row r="114" spans="1:32">
      <c r="A114" s="564" t="s">
        <v>687</v>
      </c>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row>
    <row r="115" spans="1:32">
      <c r="A115" s="564" t="s">
        <v>688</v>
      </c>
      <c r="B115" s="564"/>
      <c r="C115" s="564"/>
      <c r="D115" s="564"/>
      <c r="E115" s="564"/>
      <c r="F115" s="564"/>
      <c r="G115" s="564"/>
      <c r="H115" s="564"/>
      <c r="I115" s="564"/>
      <c r="J115" s="564"/>
      <c r="K115" s="564"/>
      <c r="L115" s="564"/>
      <c r="M115" s="564"/>
      <c r="N115" s="564"/>
      <c r="O115" s="564"/>
      <c r="P115" s="564"/>
      <c r="Q115" s="564"/>
      <c r="R115" s="564"/>
      <c r="S115" s="564"/>
      <c r="T115" s="564"/>
      <c r="U115" s="564"/>
      <c r="V115" s="564"/>
      <c r="W115" s="564"/>
      <c r="X115" s="564"/>
      <c r="Y115" s="564"/>
      <c r="Z115" s="564"/>
      <c r="AA115" s="564"/>
      <c r="AB115" s="564"/>
      <c r="AC115" s="564"/>
      <c r="AD115" s="564"/>
      <c r="AE115" s="564"/>
      <c r="AF115" s="564"/>
    </row>
    <row r="116" spans="1:32">
      <c r="A116" s="564" t="s">
        <v>620</v>
      </c>
      <c r="B116" s="564"/>
      <c r="C116" s="564"/>
      <c r="D116" s="564"/>
      <c r="E116" s="564"/>
      <c r="F116" s="564"/>
      <c r="G116" s="564"/>
      <c r="H116" s="564"/>
      <c r="I116" s="564"/>
      <c r="J116" s="564"/>
      <c r="K116" s="564"/>
      <c r="L116" s="564"/>
      <c r="M116" s="564"/>
      <c r="N116" s="564"/>
      <c r="O116" s="564"/>
      <c r="P116" s="564"/>
      <c r="Q116" s="564"/>
      <c r="R116" s="564"/>
      <c r="S116" s="564"/>
      <c r="T116" s="564"/>
      <c r="U116" s="564"/>
      <c r="V116" s="564"/>
      <c r="W116" s="564"/>
      <c r="X116" s="564"/>
      <c r="Y116" s="564"/>
      <c r="Z116" s="564"/>
      <c r="AA116" s="564"/>
      <c r="AB116" s="564"/>
      <c r="AC116" s="564"/>
      <c r="AD116" s="564"/>
      <c r="AE116" s="564"/>
      <c r="AF116" s="564"/>
    </row>
    <row r="117" spans="1:32">
      <c r="A117" s="564" t="s">
        <v>621</v>
      </c>
      <c r="B117" s="564"/>
      <c r="C117" s="564"/>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4"/>
      <c r="AD117" s="564"/>
      <c r="AE117" s="564"/>
      <c r="AF117" s="564"/>
    </row>
    <row r="118" spans="1:32">
      <c r="A118" s="564" t="s">
        <v>622</v>
      </c>
      <c r="B118" s="564"/>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row>
    <row r="119" spans="1:32">
      <c r="A119" s="564" t="s">
        <v>689</v>
      </c>
      <c r="B119" s="564"/>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row>
    <row r="120" spans="1:32">
      <c r="A120" s="564" t="s">
        <v>690</v>
      </c>
      <c r="B120" s="564"/>
      <c r="C120" s="564"/>
      <c r="D120" s="564"/>
      <c r="E120" s="564"/>
      <c r="F120" s="564"/>
      <c r="G120" s="564"/>
      <c r="H120" s="564"/>
      <c r="I120" s="564"/>
      <c r="J120" s="564"/>
      <c r="K120" s="564"/>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row>
    <row r="121" spans="1:32">
      <c r="A121" s="564" t="s">
        <v>624</v>
      </c>
      <c r="B121" s="564"/>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row>
    <row r="122" spans="1:32">
      <c r="A122" s="564" t="s">
        <v>627</v>
      </c>
      <c r="B122" s="564"/>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4"/>
      <c r="AB122" s="564"/>
      <c r="AC122" s="564"/>
      <c r="AD122" s="564"/>
      <c r="AE122" s="564"/>
      <c r="AF122" s="564"/>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2015-02-19T01:07:14Z</dcterms:modified>
</cp:coreProperties>
</file>