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108" i="15"/>
  <c r="H113" i="15"/>
  <c r="H118" i="15"/>
  <c r="H135" i="15"/>
  <c r="H140" i="15"/>
  <c r="H145" i="15"/>
  <c r="H179" i="15"/>
  <c r="H47" i="9"/>
  <c r="H52" i="9"/>
  <c r="H55" i="9"/>
  <c r="H65" i="9"/>
  <c r="H70" i="9"/>
  <c r="H73" i="9"/>
  <c r="H176" i="15"/>
  <c r="H182" i="15"/>
  <c r="H185" i="15"/>
  <c r="G58"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H74" i="8"/>
  <c r="H79" i="8"/>
  <c r="I74" i="8"/>
  <c r="I79" i="8"/>
  <c r="J74" i="8"/>
  <c r="J79" i="8"/>
  <c r="K74" i="8"/>
  <c r="K79" i="8"/>
  <c r="L74" i="8"/>
  <c r="L79" i="8"/>
  <c r="M74" i="8"/>
  <c r="M79" i="8"/>
  <c r="N74" i="8"/>
  <c r="N79" i="8"/>
  <c r="O74" i="8"/>
  <c r="O79" i="8"/>
  <c r="P74" i="8"/>
  <c r="P79" i="8"/>
  <c r="Q74" i="8"/>
  <c r="Q79" i="8"/>
  <c r="R74" i="8"/>
  <c r="R79" i="8"/>
  <c r="S74" i="8"/>
  <c r="S79" i="8"/>
  <c r="T74" i="8"/>
  <c r="T79" i="8"/>
  <c r="U74" i="8"/>
  <c r="U79" i="8"/>
  <c r="V74" i="8"/>
  <c r="V79" i="8"/>
  <c r="W74" i="8"/>
  <c r="W79" i="8"/>
  <c r="X74" i="8"/>
  <c r="X79" i="8"/>
  <c r="Y74" i="8"/>
  <c r="Y79" i="8"/>
  <c r="Z74" i="8"/>
  <c r="Z79" i="8"/>
  <c r="AA74" i="8"/>
  <c r="AA79" i="8"/>
  <c r="AB74" i="8"/>
  <c r="AB79" i="8"/>
  <c r="AC74" i="8"/>
  <c r="AC79" i="8"/>
  <c r="AD74" i="8"/>
  <c r="AD79" i="8"/>
  <c r="AE74" i="8"/>
  <c r="AE79" i="8"/>
  <c r="AF74" i="8"/>
  <c r="AF79" i="8"/>
  <c r="AG74" i="8"/>
  <c r="AG79" i="8"/>
  <c r="AH74" i="8"/>
  <c r="AH79" i="8"/>
  <c r="AI74" i="8"/>
  <c r="AI79" i="8"/>
  <c r="AJ74" i="8"/>
  <c r="AJ79" i="8"/>
  <c r="G74" i="8"/>
  <c r="G79" i="8"/>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G54" i="11"/>
  <c r="P49" i="11"/>
  <c r="P52" i="11"/>
  <c r="P58" i="11"/>
  <c r="N13" i="15"/>
  <c r="N14" i="15"/>
  <c r="D35" i="5"/>
  <c r="C35" i="5"/>
  <c r="Z49" i="11"/>
  <c r="Z52" i="11"/>
  <c r="Z58" i="11"/>
  <c r="X13" i="15"/>
  <c r="X14" i="15"/>
  <c r="X8" i="9"/>
  <c r="D29" i="5"/>
  <c r="C29" i="5"/>
  <c r="N8" i="9"/>
  <c r="D28" i="5"/>
  <c r="C28" i="5"/>
  <c r="F35" i="5"/>
  <c r="AJ49" i="11"/>
  <c r="AJ52" i="11"/>
  <c r="AJ58" i="11"/>
  <c r="AH13" i="15"/>
  <c r="AH14" i="15"/>
  <c r="AH8" i="9"/>
  <c r="D30" i="5"/>
  <c r="C30" i="5"/>
  <c r="H35" i="5"/>
  <c r="AH26" i="15"/>
  <c r="AH31" i="15"/>
  <c r="D36" i="5"/>
  <c r="C36" i="5"/>
  <c r="F36" i="5"/>
  <c r="H36" i="5"/>
  <c r="AH18" i="15"/>
  <c r="AH32" i="15"/>
  <c r="D17" i="5"/>
  <c r="N11" i="9"/>
  <c r="N18" i="9"/>
  <c r="D11"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AH43" i="15"/>
  <c r="F34" i="5"/>
  <c r="H34" i="5"/>
  <c r="AH24" i="15"/>
  <c r="AH30" i="15"/>
  <c r="AH46" i="15"/>
  <c r="AJ60" i="11"/>
  <c r="AH47" i="15"/>
  <c r="AH48" i="15"/>
  <c r="AH49" i="15"/>
  <c r="AH93" i="15"/>
  <c r="X26" i="15"/>
  <c r="X31" i="15"/>
  <c r="X18" i="15"/>
  <c r="X32" i="15"/>
  <c r="X34" i="15"/>
  <c r="X35" i="15"/>
  <c r="X37" i="15"/>
  <c r="X38" i="15"/>
  <c r="X39" i="15"/>
  <c r="X40" i="15"/>
  <c r="X42" i="15"/>
  <c r="X43" i="15"/>
  <c r="X24" i="15"/>
  <c r="X30" i="15"/>
  <c r="X46" i="15"/>
  <c r="Z60" i="11"/>
  <c r="X47" i="15"/>
  <c r="X48" i="15"/>
  <c r="X49" i="15"/>
  <c r="X93" i="15"/>
  <c r="AH78" i="15"/>
  <c r="AH94" i="15"/>
  <c r="X94" i="15"/>
  <c r="AH79" i="15"/>
  <c r="AH87" i="15"/>
  <c r="X87" i="15"/>
  <c r="AH72" i="15"/>
  <c r="N26" i="15"/>
  <c r="N31" i="15"/>
  <c r="N18" i="15"/>
  <c r="N32" i="15"/>
  <c r="C24" i="5"/>
  <c r="E17" i="5"/>
  <c r="N16" i="15"/>
  <c r="N19" i="15"/>
  <c r="N20" i="15"/>
  <c r="N21" i="15"/>
  <c r="N34" i="15"/>
  <c r="E19" i="5"/>
  <c r="N35" i="15"/>
  <c r="E20" i="5"/>
  <c r="N37" i="15"/>
  <c r="E21" i="5"/>
  <c r="N38" i="15"/>
  <c r="E22" i="5"/>
  <c r="N39" i="15"/>
  <c r="E18" i="5"/>
  <c r="N40" i="15"/>
  <c r="E23" i="5"/>
  <c r="N42" i="15"/>
  <c r="N43" i="15"/>
  <c r="N30" i="15"/>
  <c r="N46" i="15"/>
  <c r="P60" i="11"/>
  <c r="N47" i="15"/>
  <c r="N48" i="15"/>
  <c r="N49" i="15"/>
  <c r="N93" i="15"/>
  <c r="X78" i="15"/>
  <c r="N94" i="15"/>
  <c r="X79" i="15"/>
  <c r="N87" i="15"/>
  <c r="X72" i="15"/>
  <c r="J49" i="11"/>
  <c r="J52" i="11"/>
  <c r="J58" i="11"/>
  <c r="H14" i="15"/>
  <c r="H30" i="15"/>
  <c r="H11" i="9"/>
  <c r="H35" i="15"/>
  <c r="H32" i="15"/>
  <c r="H43" i="15"/>
  <c r="H46" i="15"/>
  <c r="J60" i="11"/>
  <c r="H47" i="15"/>
  <c r="H48" i="15"/>
  <c r="H49" i="15"/>
  <c r="H93" i="15"/>
  <c r="N78" i="15"/>
  <c r="H94" i="15"/>
  <c r="N79" i="15"/>
  <c r="H87" i="15"/>
  <c r="N72" i="15"/>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H76" i="8"/>
  <c r="G76"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G56" i="11"/>
  <c r="H52" i="11"/>
  <c r="I52" i="11"/>
  <c r="K52" i="11"/>
  <c r="L52" i="11"/>
  <c r="M52" i="11"/>
  <c r="N52" i="11"/>
  <c r="O52" i="11"/>
  <c r="Q52" i="11"/>
  <c r="R52" i="11"/>
  <c r="S52" i="11"/>
  <c r="T52" i="11"/>
  <c r="U52" i="11"/>
  <c r="V52" i="11"/>
  <c r="W52" i="11"/>
  <c r="X52" i="11"/>
  <c r="Y52" i="11"/>
  <c r="AA52" i="11"/>
  <c r="AB52" i="11"/>
  <c r="AC52" i="11"/>
  <c r="AD52" i="11"/>
  <c r="AE52" i="11"/>
  <c r="AF52" i="11"/>
  <c r="AG52" i="11"/>
  <c r="AH52" i="11"/>
  <c r="AI52" i="11"/>
  <c r="G52" i="11"/>
  <c r="H49" i="11"/>
  <c r="H50" i="11"/>
  <c r="H51" i="11"/>
  <c r="H58" i="11"/>
  <c r="I49" i="11"/>
  <c r="I50" i="11"/>
  <c r="I51" i="11"/>
  <c r="I58" i="11"/>
  <c r="J50" i="11"/>
  <c r="J51" i="11"/>
  <c r="K49" i="11"/>
  <c r="K50" i="11"/>
  <c r="K51" i="11"/>
  <c r="K58" i="11"/>
  <c r="L49" i="11"/>
  <c r="L50" i="11"/>
  <c r="L51" i="11"/>
  <c r="L58" i="11"/>
  <c r="M49" i="11"/>
  <c r="M50" i="11"/>
  <c r="M51" i="11"/>
  <c r="M58" i="11"/>
  <c r="N49" i="11"/>
  <c r="N50" i="11"/>
  <c r="N51" i="11"/>
  <c r="N58" i="11"/>
  <c r="O49" i="11"/>
  <c r="O50" i="11"/>
  <c r="O51" i="11"/>
  <c r="O58" i="11"/>
  <c r="P50" i="11"/>
  <c r="P51" i="11"/>
  <c r="Q49" i="11"/>
  <c r="Q50" i="11"/>
  <c r="Q51" i="11"/>
  <c r="Q58" i="11"/>
  <c r="R49" i="11"/>
  <c r="R50" i="11"/>
  <c r="R51" i="11"/>
  <c r="R58" i="11"/>
  <c r="S49" i="11"/>
  <c r="S50" i="11"/>
  <c r="S51" i="11"/>
  <c r="S58" i="11"/>
  <c r="T49" i="11"/>
  <c r="T50" i="11"/>
  <c r="T51" i="11"/>
  <c r="T58" i="11"/>
  <c r="U49" i="11"/>
  <c r="U50" i="11"/>
  <c r="U51" i="11"/>
  <c r="U58" i="11"/>
  <c r="V49" i="11"/>
  <c r="V50" i="11"/>
  <c r="V51" i="11"/>
  <c r="V58" i="11"/>
  <c r="W49" i="11"/>
  <c r="W50" i="11"/>
  <c r="W51" i="11"/>
  <c r="W58" i="11"/>
  <c r="X49" i="11"/>
  <c r="X50" i="11"/>
  <c r="X51" i="11"/>
  <c r="X58" i="11"/>
  <c r="Y49" i="11"/>
  <c r="Y50" i="11"/>
  <c r="Y51" i="11"/>
  <c r="Y58" i="11"/>
  <c r="Z50" i="11"/>
  <c r="Z51" i="11"/>
  <c r="AA49" i="11"/>
  <c r="AA50" i="11"/>
  <c r="AA51" i="11"/>
  <c r="AA58" i="11"/>
  <c r="AB49" i="11"/>
  <c r="AB50" i="11"/>
  <c r="AB51" i="11"/>
  <c r="AB58" i="11"/>
  <c r="AC49" i="11"/>
  <c r="AC50" i="11"/>
  <c r="AC51" i="11"/>
  <c r="AC58" i="11"/>
  <c r="AD49" i="11"/>
  <c r="AD50" i="11"/>
  <c r="AD51" i="11"/>
  <c r="AD58" i="11"/>
  <c r="AE49" i="11"/>
  <c r="AE50" i="11"/>
  <c r="AE51" i="11"/>
  <c r="AE58" i="11"/>
  <c r="AF49" i="11"/>
  <c r="AF50" i="11"/>
  <c r="AF51" i="11"/>
  <c r="AF58" i="11"/>
  <c r="AG49" i="11"/>
  <c r="AG50" i="11"/>
  <c r="AG51" i="11"/>
  <c r="AG58" i="11"/>
  <c r="AH49" i="11"/>
  <c r="AH50" i="11"/>
  <c r="AH51" i="11"/>
  <c r="AH58" i="11"/>
  <c r="AI49" i="11"/>
  <c r="AI50" i="11"/>
  <c r="AI51" i="11"/>
  <c r="AI58" i="11"/>
  <c r="AJ50" i="11"/>
  <c r="AJ51" i="11"/>
  <c r="AH16" i="15"/>
  <c r="Z13" i="15"/>
  <c r="Z14" i="15"/>
  <c r="N10" i="9"/>
  <c r="P73" i="8"/>
  <c r="N7" i="9"/>
  <c r="P75" i="8"/>
  <c r="N12" i="9"/>
  <c r="P78" i="8"/>
  <c r="N16" i="9"/>
  <c r="N13" i="9"/>
  <c r="N14" i="9"/>
  <c r="Z73" i="8"/>
  <c r="X7" i="9"/>
  <c r="X58" i="15"/>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AB78" i="8"/>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C78" i="8"/>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D78" i="8"/>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E78" i="8"/>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F78" i="8"/>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G78" i="8"/>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H78" i="8"/>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I78" i="8"/>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AA78" i="8"/>
  <c r="Y16" i="9"/>
  <c r="Y42" i="15"/>
  <c r="Y43" i="15"/>
  <c r="Y30" i="15"/>
  <c r="Y46" i="15"/>
  <c r="AA60" i="11"/>
  <c r="Y47" i="15"/>
  <c r="Y48" i="15"/>
  <c r="Y49" i="15"/>
  <c r="Y86" i="15"/>
  <c r="Y87" i="15"/>
  <c r="Y88" i="15"/>
  <c r="Y89" i="15"/>
  <c r="Y90" i="15"/>
  <c r="Y91" i="15"/>
  <c r="Y92" i="15"/>
  <c r="Y93" i="15"/>
  <c r="Y94" i="15"/>
  <c r="Y95" i="15"/>
  <c r="Y16" i="15"/>
  <c r="G11" i="5"/>
  <c r="E11" i="5"/>
  <c r="H78" i="8"/>
  <c r="I78" i="8"/>
  <c r="J78" i="8"/>
  <c r="K78" i="8"/>
  <c r="L78" i="8"/>
  <c r="M78" i="8"/>
  <c r="N78" i="8"/>
  <c r="O78" i="8"/>
  <c r="Q78" i="8"/>
  <c r="R78" i="8"/>
  <c r="S78" i="8"/>
  <c r="T78" i="8"/>
  <c r="U78" i="8"/>
  <c r="V78" i="8"/>
  <c r="W78" i="8"/>
  <c r="X78" i="8"/>
  <c r="Y78" i="8"/>
  <c r="Z78" i="8"/>
  <c r="AJ78" i="8"/>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8" i="8"/>
  <c r="G77" i="8"/>
  <c r="H75" i="8"/>
  <c r="I75" i="8"/>
  <c r="J75" i="8"/>
  <c r="K75" i="8"/>
  <c r="L75" i="8"/>
  <c r="M75" i="8"/>
  <c r="N75" i="8"/>
  <c r="O75" i="8"/>
  <c r="Q75" i="8"/>
  <c r="R75" i="8"/>
  <c r="S75" i="8"/>
  <c r="T75" i="8"/>
  <c r="U75" i="8"/>
  <c r="V75" i="8"/>
  <c r="W75" i="8"/>
  <c r="X75" i="8"/>
  <c r="Y75" i="8"/>
  <c r="Z75" i="8"/>
  <c r="AJ75" i="8"/>
  <c r="G75"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G49" i="11"/>
  <c r="B58" i="11"/>
  <c r="C58" i="11"/>
  <c r="D58" i="11"/>
  <c r="E58" i="11"/>
  <c r="F58" i="11"/>
  <c r="X10" i="9"/>
  <c r="X11" i="9"/>
  <c r="X12" i="9"/>
  <c r="X13" i="9"/>
  <c r="X14" i="9"/>
  <c r="X16" i="9"/>
  <c r="X18" i="9"/>
  <c r="D12" i="5"/>
  <c r="E12" i="5"/>
  <c r="AH7" i="9"/>
  <c r="AH10" i="9"/>
  <c r="AH11" i="9"/>
  <c r="AH12" i="9"/>
  <c r="AH13" i="9"/>
  <c r="AH14" i="9"/>
  <c r="AH16" i="9"/>
  <c r="AH18" i="9"/>
  <c r="D13" i="5"/>
  <c r="E13" i="5"/>
  <c r="G13" i="5"/>
  <c r="G12" i="5"/>
  <c r="E60" i="11"/>
  <c r="F60" i="11"/>
  <c r="G60" i="11"/>
  <c r="H60" i="11"/>
  <c r="I60" i="11"/>
  <c r="K60" i="11"/>
  <c r="L60" i="11"/>
  <c r="M60" i="11"/>
  <c r="N60" i="11"/>
  <c r="O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13" i="9"/>
  <c r="H38" i="15"/>
  <c r="H14" i="9"/>
  <c r="H39" i="15"/>
  <c r="H7" i="9"/>
  <c r="H31" i="15"/>
  <c r="H10" i="9"/>
  <c r="H34" i="15"/>
  <c r="H12" i="9"/>
  <c r="H37" i="15"/>
  <c r="H16" i="9"/>
  <c r="H42"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<sst xmlns="http://schemas.openxmlformats.org/spreadsheetml/2006/main" count="1326" uniqueCount="762">
  <si>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</si>
  <si>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</si>
  <si>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</si>
  <si>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</si>
  <si>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</si>
  <si>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</si>
  <si>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</si>
  <si>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</si>
  <si>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</si>
  <si>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</si>
  <si>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</si>
  <si>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</si>
  <si>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</si>
  <si>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</si>
  <si>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</si>
  <si>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</si>
  <si>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</si>
  <si>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</si>
  <si>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</si>
  <si>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</si>
  <si>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</si>
  <si>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</si>
  <si>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</si>
  <si>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</si>
  <si>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</si>
  <si>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</si>
  <si>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</si>
  <si>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</si>
  <si>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</si>
  <si>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</si>
  <si>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</si>
  <si>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</si>
  <si>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</si>
  <si>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</si>
  <si>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</si>
  <si>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</si>
  <si>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</si>
  <si>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</si>
  <si>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</si>
  <si>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</si>
  <si>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</si>
  <si>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</si>
  <si>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</si>
  <si>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</si>
  <si>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</si>
  <si>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</si>
  <si>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</si>
  <si>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</si>
  <si>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</si>
  <si>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</si>
  <si>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</si>
  <si>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</si>
  <si>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</si>
  <si>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</si>
  <si>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</si>
  <si>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</si>
  <si>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</si>
  <si>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</si>
  <si>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</si>
  <si>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</si>
  <si>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</si>
  <si>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</si>
  <si>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</si>
  <si>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</si>
  <si>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</si>
  <si>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</si>
  <si>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</si>
  <si>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</si>
  <si>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</si>
  <si>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</si>
  <si>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</si>
  <si>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</si>
  <si>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</si>
  <si>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</si>
  <si>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</si>
  <si>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</si>
  <si>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</si>
  <si>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</si>
  <si>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</si>
  <si>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</si>
  <si>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</si>
  <si>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</si>
  <si>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</si>
  <si>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</si>
  <si>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</si>
  <si>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</si>
  <si>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</si>
  <si>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</si>
  <si>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</si>
  <si>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</si>
  <si>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</si>
  <si>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</si>
  <si>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</si>
  <si>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</si>
  <si>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</si>
  <si>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</si>
  <si>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</si>
  <si>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</si>
  <si>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</si>
  <si>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</si>
  <si>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</si>
  <si>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</si>
  <si>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</si>
  <si>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</si>
  <si>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</si>
  <si>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</si>
  <si>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</si>
  <si>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</si>
  <si>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</si>
  <si>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</si>
  <si>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</si>
  <si>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</si>
  <si>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</si>
  <si>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</si>
  <si>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</si>
  <si>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</si>
  <si>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</si>
  <si>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</si>
  <si>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</si>
  <si>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</si>
  <si>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</si>
  <si>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</si>
  <si>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</si>
  <si>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</si>
  <si>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</si>
  <si>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</si>
  <si>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</si>
  <si>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</si>
  <si>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</si>
  <si>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</si>
  <si>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</si>
  <si>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</si>
  <si>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</si>
  <si>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</si>
  <si>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</si>
  <si>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</si>
  <si>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</si>
  <si>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</si>
  <si>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</si>
  <si>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</si>
  <si>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</si>
  <si>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</si>
  <si>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</si>
  <si>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</si>
  <si>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</si>
  <si>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</si>
  <si>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</si>
  <si>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</si>
  <si>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</si>
  <si>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</si>
  <si>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</si>
  <si>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</si>
  <si>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</si>
  <si>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</si>
  <si>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</si>
  <si>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</si>
  <si>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</si>
  <si>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</si>
  <si>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</si>
  <si>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</si>
  <si>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</si>
  <si>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</si>
  <si>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</si>
  <si>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</si>
  <si>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</si>
  <si>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</si>
  <si>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</si>
  <si>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</si>
  <si>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</si>
  <si>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</si>
  <si>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</si>
  <si>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</si>
  <si>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</si>
  <si>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</si>
  <si>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</si>
  <si>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</si>
  <si>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</si>
  <si>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</si>
  <si>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</si>
  <si>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</si>
  <si>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</si>
  <si>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</si>
  <si>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</si>
  <si>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</si>
  <si>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</si>
  <si>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</si>
  <si>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</si>
  <si>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</si>
  <si>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</si>
  <si>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</si>
  <si>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</si>
  <si>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</si>
  <si>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</si>
  <si>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</si>
  <si>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</si>
  <si>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</si>
  <si>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</si>
  <si>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</si>
  <si>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</si>
  <si>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</si>
  <si>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</si>
  <si>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</si>
  <si>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</si>
  <si>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</si>
  <si>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</si>
  <si>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</si>
  <si>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</si>
  <si>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</si>
  <si>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</si>
  <si>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</si>
  <si>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</si>
  <si>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</si>
  <si>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</si>
  <si>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</si>
  <si>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</si>
  <si>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</si>
  <si>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</si>
  <si>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</si>
  <si>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</si>
  <si>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</si>
  <si>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</si>
  <si>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</si>
  <si>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</si>
  <si>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</si>
  <si>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</si>
  <si>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</si>
  <si>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</si>
  <si>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</si>
  <si>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</si>
  <si>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</si>
  <si>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</si>
  <si>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</si>
  <si>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</si>
  <si>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</si>
  <si>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</si>
  <si>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</si>
  <si>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</si>
  <si>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</si>
  <si>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</si>
  <si>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</si>
  <si>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</si>
  <si>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</si>
  <si>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</si>
  <si>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</si>
  <si>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</si>
  <si>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</si>
  <si>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</si>
  <si>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</si>
  <si>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</si>
  <si>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</si>
  <si>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</si>
  <si>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</si>
  <si>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</si>
  <si>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</si>
  <si>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</si>
  <si>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</si>
  <si>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</si>
  <si>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</si>
  <si>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</si>
  <si>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</si>
  <si>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</si>
  <si>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</si>
  <si>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</si>
  <si>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</si>
  <si>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</si>
  <si>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</si>
  <si>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</si>
  <si>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</si>
  <si>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</si>
  <si>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</si>
  <si>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</si>
  <si>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</si>
  <si>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</si>
  <si>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</si>
  <si>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</si>
  <si>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</si>
  <si>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</si>
  <si>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</si>
  <si>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</si>
  <si>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</si>
  <si>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</si>
  <si>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</si>
  <si>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</si>
  <si>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</si>
  <si>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</si>
  <si>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</si>
  <si>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</si>
  <si>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</si>
  <si>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</si>
  <si>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</si>
  <si>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</si>
  <si>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</si>
  <si>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</si>
  <si>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</si>
  <si>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</si>
  <si>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</si>
  <si>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</si>
  <si>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</si>
  <si>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</si>
  <si>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</si>
  <si>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</si>
  <si>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</si>
  <si>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</si>
  <si>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</si>
  <si>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</si>
  <si>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</si>
  <si>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</si>
  <si>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</si>
  <si>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</si>
  <si>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</si>
  <si>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</si>
  <si>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</si>
  <si>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</si>
  <si>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</si>
  <si>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</si>
  <si>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</si>
  <si>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</si>
  <si>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</si>
  <si>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</si>
  <si>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</si>
  <si>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</si>
  <si>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</si>
  <si>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</si>
  <si>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</si>
  <si>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</si>
  <si>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</si>
  <si>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</si>
  <si>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</si>
  <si>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</si>
  <si>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</si>
  <si>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</si>
  <si>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</si>
  <si>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</si>
  <si>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</si>
  <si>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</si>
  <si>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</si>
  <si>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</si>
  <si>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</si>
  <si>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</si>
  <si>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</si>
  <si>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</si>
  <si>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</si>
  <si>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</si>
  <si>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</si>
  <si>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</si>
  <si>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</si>
  <si>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</si>
  <si>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</si>
  <si>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</si>
  <si>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</si>
  <si>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</si>
  <si>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</si>
  <si>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</si>
  <si>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</si>
  <si>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</si>
  <si>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</si>
  <si>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</si>
  <si>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</si>
  <si>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</si>
  <si>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</si>
  <si>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</si>
  <si>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</si>
  <si>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</si>
  <si>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</si>
  <si>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</si>
  <si>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</si>
  <si>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</si>
  <si>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</si>
  <si>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</si>
  <si>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</si>
  <si>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</si>
  <si>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</si>
  <si>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</si>
  <si>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</si>
  <si>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</si>
  <si>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</si>
  <si>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</si>
  <si>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</si>
  <si>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</si>
  <si>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</si>
  <si>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</si>
  <si>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</si>
  <si>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</si>
  <si>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</si>
  <si>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</si>
  <si>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</si>
  <si>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</si>
  <si>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</si>
  <si>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</si>
  <si>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</si>
  <si>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</si>
  <si>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</si>
  <si>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</si>
  <si>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</si>
  <si>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</si>
  <si>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</si>
  <si>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</si>
  <si>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</si>
  <si>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</si>
  <si>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</si>
  <si>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</si>
  <si>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</si>
  <si>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</si>
  <si>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</si>
  <si>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</si>
  <si>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</si>
  <si>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</si>
  <si>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</si>
  <si>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</si>
  <si>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</si>
  <si>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</si>
  <si>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</si>
  <si>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</si>
  <si>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</si>
  <si>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</si>
  <si>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</si>
  <si>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</si>
  <si>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</si>
  <si>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</si>
  <si>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</si>
  <si>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</si>
  <si>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</si>
  <si>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</si>
  <si>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</si>
  <si>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</si>
  <si>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</si>
  <si>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</si>
  <si>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</si>
  <si>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</si>
  <si>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</si>
  <si>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</si>
  <si>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</si>
  <si>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</si>
  <si>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</si>
  <si>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</si>
  <si>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</si>
  <si>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</si>
  <si>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</si>
  <si>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</si>
  <si>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</si>
  <si>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</si>
  <si>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</si>
  <si>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</si>
  <si>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</si>
  <si>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</si>
  <si>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</si>
  <si>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</si>
  <si>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</si>
  <si>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</si>
  <si>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</si>
  <si>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</si>
  <si>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</si>
  <si>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</si>
  <si>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</si>
  <si>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</si>
  <si>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</si>
  <si>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</si>
  <si>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</si>
  <si>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</si>
  <si>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</si>
  <si>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</si>
  <si>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</si>
  <si>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</si>
  <si>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</si>
  <si>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</si>
  <si>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</si>
  <si>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</si>
  <si>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</si>
  <si>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</si>
  <si>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</si>
  <si>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</si>
  <si>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</si>
  <si>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</si>
  <si>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</si>
  <si>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</si>
  <si>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</si>
  <si>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</si>
  <si>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</si>
  <si>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</si>
  <si>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</si>
  <si>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</si>
  <si>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</si>
  <si>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</si>
  <si>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</si>
  <si>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</si>
  <si>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</si>
  <si>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</si>
  <si>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</si>
  <si>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</si>
  <si>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</si>
  <si>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</si>
  <si>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</si>
  <si>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</si>
  <si>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</si>
  <si>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</si>
  <si>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</si>
  <si>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</si>
  <si>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</si>
  <si>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</si>
  <si>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</si>
  <si>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</si>
  <si>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</si>
  <si>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</si>
  <si>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</si>
  <si>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</si>
  <si>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</si>
  <si>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</si>
  <si>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</si>
  <si>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</si>
  <si>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</si>
  <si>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</si>
  <si>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</si>
  <si>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</si>
  <si>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</si>
  <si>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</si>
  <si>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</si>
  <si>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</si>
  <si>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</si>
  <si>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</si>
  <si>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</si>
  <si>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</si>
  <si>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</si>
  <si>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</si>
  <si>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</si>
  <si>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</si>
  <si>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</si>
  <si>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</si>
  <si>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</si>
  <si>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</si>
  <si>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</si>
  <si>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</si>
  <si>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</si>
  <si>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</si>
  <si>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</si>
  <si>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</si>
  <si>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</si>
  <si>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</si>
  <si>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</si>
  <si>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</si>
  <si>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</si>
  <si>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</si>
  <si>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</si>
  <si>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</si>
  <si>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</si>
  <si>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</si>
  <si>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</si>
  <si>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</si>
  <si>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</si>
  <si>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</si>
  <si>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</si>
  <si>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</si>
  <si>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</si>
  <si>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</si>
  <si>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</si>
  <si>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</si>
  <si>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</si>
  <si>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</si>
  <si>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</si>
  <si>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</si>
  <si>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</si>
  <si>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</si>
  <si>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</si>
  <si>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</si>
  <si>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</si>
  <si>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</si>
  <si>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</si>
  <si>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</si>
  <si>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</si>
  <si>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</si>
  <si>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</si>
  <si>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</si>
  <si>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</si>
  <si>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</si>
  <si>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</si>
  <si>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</si>
  <si>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</si>
  <si>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</si>
  <si>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</si>
  <si>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</si>
  <si>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</si>
  <si>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</si>
  <si>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</si>
  <si>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</si>
  <si>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</si>
  <si>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</si>
  <si>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</si>
  <si>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</si>
  <si>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</si>
  <si>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</si>
  <si>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</si>
  <si>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</si>
  <si>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</si>
  <si>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</si>
  <si>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</si>
  <si>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</si>
  <si>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</si>
  <si>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</si>
  <si>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</si>
  <si>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</si>
  <si>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</si>
  <si>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</si>
  <si>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</si>
  <si>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</si>
  <si>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</si>
  <si>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</si>
  <si>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</si>
  <si>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</si>
  <si>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</si>
  <si>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</si>
  <si>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</si>
  <si>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</si>
  <si>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</si>
  <si>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</si>
  <si>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</si>
  <si>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</si>
  <si>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</si>
  <si>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</si>
  <si>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</si>
  <si>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</si>
  <si>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</si>
  <si>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</si>
  <si>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</si>
  <si>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</si>
  <si>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</si>
  <si>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</si>
  <si>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</si>
  <si>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</si>
  <si>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</si>
  <si>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</si>
  <si>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</si>
  <si>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</si>
  <si>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</si>
  <si>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</si>
  <si>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</si>
  <si>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</si>
  <si>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</si>
  <si>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</si>
  <si>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</si>
  <si>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</si>
  <si>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</si>
  <si>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</si>
  <si>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</si>
  <si>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</si>
  <si>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</si>
  <si>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</si>
  <si>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</si>
  <si>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</si>
  <si>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</si>
  <si>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</si>
  <si>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</si>
  <si>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</si>
  <si>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</si>
  <si>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</si>
  <si>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</si>
  <si>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</si>
  <si>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</si>
  <si>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</si>
  <si>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</si>
  <si>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</si>
  <si>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</si>
  <si>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</si>
  <si>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</si>
  <si>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</si>
  <si>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</si>
  <si>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</si>
  <si>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</si>
  <si>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</si>
  <si>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</si>
  <si>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</si>
  <si>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</si>
  <si>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</si>
  <si>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</si>
  <si>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</si>
  <si>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</si>
  <si>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</si>
  <si>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</si>
  <si>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</si>
  <si>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</si>
  <si>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</si>
  <si>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</si>
  <si>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</si>
  <si>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</si>
  <si>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</si>
  <si>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</si>
  <si>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</si>
  <si>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</si>
  <si>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</si>
  <si>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</si>
  <si>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</si>
  <si>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</si>
  <si>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</si>
  <si>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</si>
  <si>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</si>
  <si>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</si>
  <si>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</si>
  <si>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</si>
  <si>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</si>
  <si>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</si>
  <si>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</si>
  <si>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</si>
  <si>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</si>
  <si>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</si>
  <si>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</si>
  <si>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</si>
  <si>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</si>
  <si>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</si>
  <si>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</si>
  <si>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</si>
  <si>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</si>
  <si>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</si>
  <si>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</si>
  <si>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</si>
  <si>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</si>
  <si>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</si>
  <si>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</si>
  <si>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</si>
  <si>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</si>
  <si>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</si>
  <si>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</si>
  <si>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</si>
  <si>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</si>
  <si>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</si>
  <si>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</si>
  <si>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</si>
  <si>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</si>
  <si>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</si>
  <si>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</si>
  <si>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</si>
  <si>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</si>
  <si>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</si>
  <si>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</si>
  <si>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</si>
  <si>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</si>
  <si>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</si>
  <si>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</si>
  <si>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</si>
  <si>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</si>
  <si>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</si>
  <si>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</si>
  <si>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</si>
  <si>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</si>
  <si>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</si>
  <si>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</si>
  <si>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</si>
  <si>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</si>
  <si>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Total Electricity Generation by Fuel from EIA for Midwest</t>
  </si>
  <si>
    <t>Generation from EIA Midwest region from EIA</t>
  </si>
  <si>
    <t>Energy 0ource</t>
  </si>
  <si>
    <t xml:space="preserve">    Natural Ga0</t>
  </si>
  <si>
    <t xml:space="preserve">    Other Ga0e0</t>
  </si>
  <si>
    <t>Renewable0</t>
  </si>
  <si>
    <t>Pumped 0torage</t>
  </si>
  <si>
    <t>0olar</t>
  </si>
  <si>
    <t>Wood/Wood Wa0te</t>
  </si>
  <si>
    <t>M0W Biogenic/Landfill Ga0</t>
  </si>
  <si>
    <t>Other Bioma00</t>
  </si>
  <si>
    <t>Fo00il</t>
  </si>
  <si>
    <t>Total Electricity Generation by Fuel by computation for Wisconsin</t>
  </si>
  <si>
    <t>Contribution of Wisconsin</t>
  </si>
  <si>
    <t>Proportion for Wisconsin</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</si>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</sst>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1"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26">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67">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0" fillId="0" borderId="0" xfId="0" applyAlignment="1">
      <alignment horizontal="center"/>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31" xfId="0" applyBorder="1"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26">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12491064"/>
        <c:axId val="2093044856"/>
      </c:lineChart>
      <c:catAx>
        <c:axId val="211249106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3044856"/>
        <c:crosses val="autoZero"/>
        <c:auto val="1"/>
        <c:lblAlgn val="ctr"/>
        <c:lblOffset val="100"/>
        <c:noMultiLvlLbl val="0"/>
      </c:catAx>
      <c:valAx>
        <c:axId val="2093044856"/>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249106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80772168"/>
        <c:axId val="2074989944"/>
      </c:lineChart>
      <c:catAx>
        <c:axId val="208077216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74989944"/>
        <c:crosses val="autoZero"/>
        <c:auto val="1"/>
        <c:lblAlgn val="ctr"/>
        <c:lblOffset val="100"/>
        <c:noMultiLvlLbl val="0"/>
      </c:catAx>
      <c:valAx>
        <c:axId val="2074989944"/>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0772168"/>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13"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1"/>
      <c r="B1" s="531"/>
      <c r="C1" s="531"/>
      <c r="D1" s="531"/>
      <c r="E1" s="531"/>
      <c r="F1" s="531"/>
      <c r="G1" s="531"/>
      <c r="H1" s="531"/>
      <c r="I1" s="531"/>
      <c r="J1" s="531"/>
      <c r="K1" s="531"/>
      <c r="L1" s="531"/>
      <c r="M1" s="531"/>
      <c r="N1" s="531"/>
      <c r="O1" s="531"/>
      <c r="P1" s="531"/>
      <c r="Q1" s="531"/>
      <c r="R1" s="531"/>
      <c r="S1" s="531"/>
      <c r="T1" s="531"/>
    </row>
    <row r="2" spans="1:20" ht="113.25" customHeight="1">
      <c r="A2" s="531"/>
      <c r="B2" s="531"/>
      <c r="C2" s="531"/>
      <c r="D2" s="531"/>
      <c r="E2" s="531"/>
      <c r="F2" s="531"/>
      <c r="G2" s="531"/>
      <c r="H2" s="531"/>
      <c r="I2" s="531"/>
      <c r="J2" s="531"/>
      <c r="K2" s="531"/>
      <c r="L2" s="531"/>
      <c r="M2" s="531"/>
      <c r="N2" s="531"/>
      <c r="O2" s="531"/>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0.13385577281649974</v>
      </c>
      <c r="E7" s="92" t="s">
        <v>519</v>
      </c>
      <c r="F7" s="109"/>
      <c r="G7" s="109"/>
      <c r="H7" s="29" t="s">
        <v>0</v>
      </c>
      <c r="I7" s="29"/>
      <c r="J7" s="29"/>
      <c r="K7" s="29"/>
      <c r="L7" s="29"/>
      <c r="M7" s="7" t="s">
        <v>0</v>
      </c>
      <c r="N7" t="s">
        <v>0</v>
      </c>
      <c r="O7" t="s">
        <v>0</v>
      </c>
      <c r="P7" t="s">
        <v>0</v>
      </c>
    </row>
    <row r="8" spans="1:20" ht="15" thickBot="1">
      <c r="B8" s="1" t="s">
        <v>368</v>
      </c>
      <c r="C8" s="109"/>
      <c r="D8" s="104" t="s">
        <v>342</v>
      </c>
      <c r="E8" s="498" t="s">
        <v>718</v>
      </c>
      <c r="F8" s="109"/>
      <c r="G8" s="498"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523">
        <v>0.12</v>
      </c>
      <c r="D11" s="125">
        <f>'Output - Jobs vs Yr (BAU)'!N18/'Output -Jobs vs Yr'!N14</f>
        <v>6.8562880561529732E-2</v>
      </c>
      <c r="E11" s="497">
        <f>(7.7/3)^(1/6)</f>
        <v>1.1701141873017888</v>
      </c>
      <c r="F11" s="109"/>
      <c r="G11" s="494">
        <f>(12.5/3)^(1/6)</f>
        <v>1.2685223586294079</v>
      </c>
      <c r="H11"/>
      <c r="I11"/>
      <c r="J11"/>
      <c r="K11"/>
      <c r="L11"/>
      <c r="M11" t="s">
        <v>0</v>
      </c>
      <c r="N11" t="s">
        <v>0</v>
      </c>
      <c r="O11" s="111" t="s">
        <v>0</v>
      </c>
      <c r="P11" s="31" t="s">
        <v>0</v>
      </c>
    </row>
    <row r="12" spans="1:20" ht="15" thickBot="1">
      <c r="B12" t="s">
        <v>381</v>
      </c>
      <c r="C12" s="209">
        <v>0.13</v>
      </c>
      <c r="D12" s="125">
        <f>'Output - Jobs vs Yr (BAU)'!X18/'Output -Jobs vs Yr'!X14</f>
        <v>7.2750096136463549E-2</v>
      </c>
      <c r="E12" s="497">
        <f>(D12/D11)^(1/10)</f>
        <v>1.0059454986237046</v>
      </c>
      <c r="F12" s="109"/>
      <c r="G12" s="495">
        <f>(C12/C11)^(1/10)</f>
        <v>1.0080363905839886</v>
      </c>
      <c r="H12"/>
      <c r="I12"/>
      <c r="J12"/>
      <c r="K12"/>
      <c r="L12"/>
      <c r="M12" t="s">
        <v>0</v>
      </c>
      <c r="N12" t="s">
        <v>0</v>
      </c>
      <c r="O12" s="111" t="s">
        <v>0</v>
      </c>
      <c r="P12" s="31" t="s">
        <v>0</v>
      </c>
    </row>
    <row r="13" spans="1:20" ht="15" thickBot="1">
      <c r="B13" t="s">
        <v>578</v>
      </c>
      <c r="C13" s="210">
        <v>0.15</v>
      </c>
      <c r="D13" s="172">
        <f>'Output - Jobs vs Yr (BAU)'!AH18/'Output -Jobs vs Yr'!AH14</f>
        <v>7.8657646771584599E-2</v>
      </c>
      <c r="E13" s="497">
        <f>(D13/D12)^(1/10)</f>
        <v>1.0078380199663599</v>
      </c>
      <c r="F13" s="109"/>
      <c r="G13" s="496">
        <f>(C13/C12)^(1/10)</f>
        <v>1.0144129637732298</v>
      </c>
      <c r="H13"/>
      <c r="I13"/>
      <c r="J13"/>
      <c r="K13"/>
      <c r="L13"/>
      <c r="M13"/>
      <c r="O13" s="111"/>
      <c r="P13" s="31"/>
    </row>
    <row r="14" spans="1:20">
      <c r="B14" t="s">
        <v>579</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1">
        <v>2020</v>
      </c>
      <c r="O16" s="291">
        <v>2030</v>
      </c>
      <c r="P16" s="291">
        <v>2040</v>
      </c>
      <c r="Q16" s="198">
        <v>2031</v>
      </c>
    </row>
    <row r="17" spans="2:17" ht="15" thickBot="1">
      <c r="B17" t="s">
        <v>353</v>
      </c>
      <c r="C17" s="195">
        <f>D17*$C$11/$D$11</f>
        <v>5.9790570259544422E-2</v>
      </c>
      <c r="D17" s="126">
        <f>'Output - Jobs vs Yr (BAU)'!N10/'Output -Jobs vs Yr'!$N$14</f>
        <v>3.4161781061757469E-2</v>
      </c>
      <c r="E17" s="105">
        <f t="shared" ref="E17:E23" si="0">IF($C$24&lt;&gt;0,C17/$C$24,0)</f>
        <v>0.49825475216287018</v>
      </c>
      <c r="F17" s="172">
        <f>C17*$C$12/$C$11</f>
        <v>6.4773117781173131E-2</v>
      </c>
      <c r="G17" s="105">
        <f>'Output - Jobs vs Yr (BAU)'!X10/'Output - Jobs vs Yr (BAU)'!X24</f>
        <v>4.1718616972566271E-2</v>
      </c>
      <c r="H17" s="105">
        <f t="shared" ref="H17:H23" si="1">G17/$G$24</f>
        <v>0.57345355243374041</v>
      </c>
      <c r="I17" s="172">
        <f>F17*$C$13/$C$12</f>
        <v>7.4738212824430536E-2</v>
      </c>
      <c r="J17" s="105">
        <f>'Output - Jobs vs Yr (BAU)'!AH10/'Output - Jobs vs Yr (BAU)'!AH24</f>
        <v>4.8605179360175645E-2</v>
      </c>
      <c r="K17" s="105">
        <f>J17/$J$24</f>
        <v>0.61793417603642076</v>
      </c>
      <c r="L17" s="105"/>
      <c r="M17" s="45" t="s">
        <v>259</v>
      </c>
      <c r="N17" s="86">
        <f>HLOOKUP(N16,'Output -Jobs vs Yr'!$H$175:$AH$184,9)</f>
        <v>246.10622742433952</v>
      </c>
      <c r="O17" s="86">
        <f>HLOOKUP(O16,'Output -Jobs vs Yr'!$H$175:$AH$184,9)</f>
        <v>285.58162297375929</v>
      </c>
      <c r="P17" s="86">
        <f>HLOOKUP(P16,'Output -Jobs vs Yr'!$H$175:$AH$184,9)</f>
        <v>361.57429367730219</v>
      </c>
      <c r="Q17" s="86">
        <f>HLOOKUP(Q16,'Output -Jobs vs Yr'!$H$175:$AH$184,9)</f>
        <v>292.78518243511371</v>
      </c>
    </row>
    <row r="18" spans="2:17" ht="15" thickBot="1">
      <c r="B18" s="4" t="s">
        <v>354</v>
      </c>
      <c r="C18" s="195">
        <f>D18*$C$11/$D$11</f>
        <v>2.8514518045872935E-7</v>
      </c>
      <c r="D18" s="126">
        <f>'Output - Jobs vs Yr (BAU)'!N15/'Output -Jobs vs Yr'!$N$14</f>
        <v>1.6291979125406419E-7</v>
      </c>
      <c r="E18" s="105">
        <f t="shared" si="0"/>
        <v>2.3762098371560779E-6</v>
      </c>
      <c r="F18" s="172">
        <f t="shared" ref="F18:F23" si="2">C18*$C$12/$C$11</f>
        <v>3.0890727883029013E-7</v>
      </c>
      <c r="G18" s="105">
        <f>'Output - Jobs vs Yr (BAU)'!X15/'Output - Jobs vs Yr (BAU)'!X24</f>
        <v>1.4709338089872423E-7</v>
      </c>
      <c r="H18" s="105">
        <f t="shared" si="1"/>
        <v>2.0219083933518502E-6</v>
      </c>
      <c r="I18" s="172">
        <f t="shared" ref="I18:I24" si="3">F18*$C$13/$C$12</f>
        <v>3.5643147557341169E-7</v>
      </c>
      <c r="J18" s="105">
        <f>'Output - Jobs vs Yr (BAU)'!AH15/'Output - Jobs vs Yr (BAU)'!AH24</f>
        <v>1.415209055543934E-7</v>
      </c>
      <c r="K18" s="105">
        <f t="shared" ref="K18:K24" si="4">J18/$J$24</f>
        <v>1.7992034041815371E-6</v>
      </c>
      <c r="L18" s="105"/>
      <c r="M18" s="46" t="s">
        <v>260</v>
      </c>
      <c r="N18" s="87">
        <f>HLOOKUP(N16,'Output -Jobs vs Yr'!$H$175:$AH$184,10)</f>
        <v>221.49513212299644</v>
      </c>
      <c r="O18" s="87">
        <f>HLOOKUP(O16,'Output -Jobs vs Yr'!$H$175:$AH$184,10)</f>
        <v>257.02289365836441</v>
      </c>
      <c r="P18" s="87">
        <f>HLOOKUP(P16,'Output -Jobs vs Yr'!$H$175:$AH$184,10)</f>
        <v>325.41618429440496</v>
      </c>
      <c r="Q18" s="87">
        <f>HLOOKUP(Q16,'Output -Jobs vs Yr'!$H$175:$AH$184,10)</f>
        <v>263.5060869310355</v>
      </c>
    </row>
    <row r="19" spans="2:17" ht="15" thickBot="1">
      <c r="B19" s="4" t="s">
        <v>355</v>
      </c>
      <c r="C19" s="195">
        <f>D19*$C$11/$D$11</f>
        <v>2.8514518045872934E-12</v>
      </c>
      <c r="D19" s="126">
        <f>'Output - Jobs vs Yr (BAU)'!N11/'Output -Jobs vs Yr'!$N$14</f>
        <v>1.6291979125406419E-12</v>
      </c>
      <c r="E19" s="105">
        <f t="shared" si="0"/>
        <v>2.3762098371560778E-11</v>
      </c>
      <c r="F19" s="172">
        <f t="shared" si="2"/>
        <v>3.0890727883029014E-12</v>
      </c>
      <c r="G19" s="105">
        <f>'Output - Jobs vs Yr (BAU)'!X11/'Output - Jobs vs Yr (BAU)'!X24</f>
        <v>1.4709338089872425E-12</v>
      </c>
      <c r="H19" s="105">
        <f t="shared" si="1"/>
        <v>2.0219083933518506E-11</v>
      </c>
      <c r="I19" s="172">
        <f t="shared" si="3"/>
        <v>3.5643147557341163E-12</v>
      </c>
      <c r="J19" s="105">
        <f>'Output - Jobs vs Yr (BAU)'!AH11/'Output - Jobs vs Yr (BAU)'!AH24</f>
        <v>1.4152090555439339E-12</v>
      </c>
      <c r="K19" s="105">
        <f t="shared" si="4"/>
        <v>1.7992034041815371E-11</v>
      </c>
      <c r="L19" s="105"/>
      <c r="M19" s="46" t="s">
        <v>261</v>
      </c>
      <c r="N19" s="87">
        <f>HLOOKUP(N16,'Output -Jobs vs Yr'!$H$175:$AH$184,8)</f>
        <v>467.60135954733596</v>
      </c>
      <c r="O19" s="87">
        <f>HLOOKUP(O16,'Output -Jobs vs Yr'!$H$175:$AH$184,8)</f>
        <v>542.6045166321237</v>
      </c>
      <c r="P19" s="87">
        <f>HLOOKUP(P16,'Output -Jobs vs Yr'!$H$175:$AH$184,8)</f>
        <v>686.99047797170715</v>
      </c>
      <c r="Q19" s="87">
        <f>HLOOKUP(Q16,'Output -Jobs vs Yr'!$H$175:$AH$184,8)</f>
        <v>556.29126936614921</v>
      </c>
    </row>
    <row r="20" spans="2:17" ht="15" thickBot="1">
      <c r="B20" s="4" t="s">
        <v>51</v>
      </c>
      <c r="C20" s="195">
        <f>D20*$C$11/$D$11</f>
        <v>1.0537904396832878E-2</v>
      </c>
      <c r="D20" s="126">
        <f>'Output - Jobs vs Yr (BAU)'!N12/'Output -Jobs vs Yr'!$N$14</f>
        <v>6.0209090044072641E-3</v>
      </c>
      <c r="E20" s="105">
        <f t="shared" si="0"/>
        <v>8.7815869973607324E-2</v>
      </c>
      <c r="F20" s="172">
        <f t="shared" si="2"/>
        <v>1.1416063096568953E-2</v>
      </c>
      <c r="G20" s="105">
        <f>'Output - Jobs vs Yr (BAU)'!X12/'Output - Jobs vs Yr (BAU)'!X24</f>
        <v>5.4215941237926333E-3</v>
      </c>
      <c r="H20" s="105">
        <f t="shared" si="1"/>
        <v>7.4523860946474937E-2</v>
      </c>
      <c r="I20" s="172">
        <f t="shared" si="3"/>
        <v>1.31723804960411E-2</v>
      </c>
      <c r="J20" s="105">
        <f>'Output - Jobs vs Yr (BAU)'!AH12/'Output - Jobs vs Yr (BAU)'!AH24</f>
        <v>5.1809165654997319E-3</v>
      </c>
      <c r="K20" s="105">
        <f t="shared" si="4"/>
        <v>6.5866754349200501E-2</v>
      </c>
      <c r="L20" s="105"/>
      <c r="M20" s="47" t="s">
        <v>459</v>
      </c>
      <c r="N20" s="88">
        <f>HLOOKUP(N16,'Output -Jobs vs Yr'!$H$175:$AH$188,11)-HLOOKUP(N16,'Output -Jobs vs Yr'!$H$175:$AH$188,14)</f>
        <v>961.93190341237278</v>
      </c>
      <c r="O20" s="88">
        <f>HLOOKUP(O16,'Output -Jobs vs Yr'!$H$175:$AH$188,11)-HLOOKUP(O16,'Output -Jobs vs Yr'!$H$175:$AH$188,14)</f>
        <v>6000.7722203000103</v>
      </c>
      <c r="P20" s="88">
        <f>HLOOKUP(P16,'Output -Jobs vs Yr'!$H$175:$AH$188,11)-HLOOKUP(P16,'Output -Jobs vs Yr'!$H$175:$AH$188,14)</f>
        <v>12056.36569537478</v>
      </c>
      <c r="Q20" s="88">
        <f>HLOOKUP(Q16,'Output -Jobs vs Yr'!$H$175:$AH$188,11)-HLOOKUP(Q16,'Output -Jobs vs Yr'!$H$175:$AH$188,14)</f>
        <v>6557.0634896661595</v>
      </c>
    </row>
    <row r="21" spans="2:17" ht="15" thickBot="1">
      <c r="B21" t="s">
        <v>356</v>
      </c>
      <c r="C21" s="195">
        <f t="shared" ref="C21:C23" si="5">D21*$C$11/$D$11</f>
        <v>5.7029036091745861E-6</v>
      </c>
      <c r="D21" s="126">
        <f>'Output - Jobs vs Yr (BAU)'!N13/'Output -Jobs vs Yr'!$N$14</f>
        <v>3.2583958250812834E-6</v>
      </c>
      <c r="E21" s="105">
        <f t="shared" si="0"/>
        <v>4.7524196743121551E-5</v>
      </c>
      <c r="F21" s="172">
        <f t="shared" si="2"/>
        <v>6.1781455766058017E-6</v>
      </c>
      <c r="G21" s="105">
        <f>'Output - Jobs vs Yr (BAU)'!X13/'Output - Jobs vs Yr (BAU)'!X24</f>
        <v>2.941867617974485E-6</v>
      </c>
      <c r="H21" s="105">
        <f t="shared" si="1"/>
        <v>4.0438167867037018E-5</v>
      </c>
      <c r="I21" s="172">
        <f t="shared" si="3"/>
        <v>7.128629511468232E-6</v>
      </c>
      <c r="J21" s="105">
        <f>'Output - Jobs vs Yr (BAU)'!AH13/'Output - Jobs vs Yr (BAU)'!AH24</f>
        <v>0</v>
      </c>
      <c r="K21" s="105">
        <f t="shared" si="4"/>
        <v>0</v>
      </c>
      <c r="L21" s="105"/>
      <c r="N21" s="160"/>
    </row>
    <row r="22" spans="2:17" ht="15" thickBot="1">
      <c r="B22" s="4" t="s">
        <v>357</v>
      </c>
      <c r="C22" s="195">
        <f t="shared" si="5"/>
        <v>2.8514518045872931E-6</v>
      </c>
      <c r="D22" s="126">
        <f>'Output - Jobs vs Yr (BAU)'!N14/'Output -Jobs vs Yr'!$N$14</f>
        <v>1.6291979125406417E-6</v>
      </c>
      <c r="E22" s="105">
        <f t="shared" si="0"/>
        <v>2.3762098371560776E-5</v>
      </c>
      <c r="F22" s="172">
        <f t="shared" si="2"/>
        <v>3.0890727883029008E-6</v>
      </c>
      <c r="G22" s="105">
        <f>'Output - Jobs vs Yr (BAU)'!X14/'Output - Jobs vs Yr (BAU)'!X24</f>
        <v>1.4709338089872425E-6</v>
      </c>
      <c r="H22" s="105">
        <f t="shared" si="1"/>
        <v>2.0219083933518509E-5</v>
      </c>
      <c r="I22" s="172">
        <f t="shared" si="3"/>
        <v>3.564314755734116E-6</v>
      </c>
      <c r="J22" s="105">
        <f>'Output - Jobs vs Yr (BAU)'!AH14/'Output - Jobs vs Yr (BAU)'!AH24</f>
        <v>1.415209055543934E-6</v>
      </c>
      <c r="K22" s="105">
        <f t="shared" si="4"/>
        <v>1.799203404181537E-5</v>
      </c>
      <c r="L22" s="105"/>
      <c r="O22" t="s">
        <v>0</v>
      </c>
    </row>
    <row r="23" spans="2:17" ht="15" thickBot="1">
      <c r="B23" t="s">
        <v>358</v>
      </c>
      <c r="C23" s="195">
        <f t="shared" si="5"/>
        <v>4.9662685840177016E-2</v>
      </c>
      <c r="D23" s="126">
        <f>'Output - Jobs vs Yr (BAU)'!N16/'Output -Jobs vs Yr'!$N$14</f>
        <v>2.8375139980206923E-2</v>
      </c>
      <c r="E23" s="105">
        <f t="shared" si="0"/>
        <v>0.41385571533480847</v>
      </c>
      <c r="F23" s="172">
        <f t="shared" si="2"/>
        <v>5.3801242993525102E-2</v>
      </c>
      <c r="G23" s="105">
        <f>'Output - Jobs vs Yr (BAU)'!X16/'Output - Jobs vs Yr (BAU)'!X24</f>
        <v>2.5605004112097818E-2</v>
      </c>
      <c r="H23" s="105">
        <f t="shared" si="1"/>
        <v>0.35195990743937167</v>
      </c>
      <c r="I23" s="172">
        <f t="shared" si="3"/>
        <v>6.2078357300221272E-2</v>
      </c>
      <c r="J23" s="105">
        <f>'Output - Jobs vs Yr (BAU)'!AH16/'Output - Jobs vs Yr (BAU)'!AH24</f>
        <v>2.4869882797518932E-2</v>
      </c>
      <c r="K23" s="105">
        <f t="shared" si="4"/>
        <v>0.31617927835894072</v>
      </c>
      <c r="L23" s="105"/>
      <c r="M23" s="44"/>
      <c r="N23" s="197"/>
      <c r="O23" t="s">
        <v>0</v>
      </c>
    </row>
    <row r="24" spans="2:17">
      <c r="B24" s="108" t="s">
        <v>370</v>
      </c>
      <c r="C24" s="137">
        <f t="shared" ref="C24:H24" si="6">SUM(C17:C23)</f>
        <v>0.12</v>
      </c>
      <c r="D24" s="205">
        <f t="shared" si="6"/>
        <v>6.8562880561529732E-2</v>
      </c>
      <c r="E24" s="200">
        <f t="shared" si="6"/>
        <v>0.99999999999999989</v>
      </c>
      <c r="F24" s="200">
        <f t="shared" si="6"/>
        <v>0.12999999999999998</v>
      </c>
      <c r="G24" s="200">
        <f t="shared" si="6"/>
        <v>7.2749775104735515E-2</v>
      </c>
      <c r="H24" s="105">
        <f t="shared" si="6"/>
        <v>1</v>
      </c>
      <c r="I24" s="172">
        <f t="shared" si="3"/>
        <v>0.14999999999999997</v>
      </c>
      <c r="J24" s="105">
        <f>SUM(J17:J23)</f>
        <v>7.8657535454570618E-2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12%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8.6157804814420452E-2</v>
      </c>
      <c r="D28" s="105">
        <f>('Output - Jobs vs Yr (BAU)'!N8+'Output - Jobs vs Yr (BAU)'!N7)/'Output -Jobs vs Yr'!N14</f>
        <v>8.6157804814420452E-2</v>
      </c>
      <c r="E28" s="136" t="s">
        <v>0</v>
      </c>
      <c r="F28" s="98"/>
      <c r="G28" s="98" t="s">
        <v>0</v>
      </c>
      <c r="H28" s="135" t="s">
        <v>0</v>
      </c>
      <c r="I28" s="135"/>
      <c r="J28" s="135"/>
      <c r="K28" s="135"/>
      <c r="L28" s="135"/>
      <c r="M28"/>
    </row>
    <row r="29" spans="2:17" ht="15" thickBot="1">
      <c r="B29" t="s">
        <v>372</v>
      </c>
      <c r="C29" s="278">
        <f>D29</f>
        <v>7.9575988724450819E-2</v>
      </c>
      <c r="D29" s="105">
        <f>('Output - Jobs vs Yr (BAU)'!X8+'Output - Jobs vs Yr (BAU)'!X7)/'Output -Jobs vs Yr'!X14</f>
        <v>7.9575988724450819E-2</v>
      </c>
      <c r="E29" s="107"/>
      <c r="F29" s="98"/>
      <c r="G29" s="96"/>
      <c r="H29"/>
      <c r="I29"/>
      <c r="J29"/>
      <c r="K29"/>
      <c r="L29"/>
    </row>
    <row r="30" spans="2:17" ht="15" thickBot="1">
      <c r="B30" t="s">
        <v>580</v>
      </c>
      <c r="C30" s="210">
        <f>D30</f>
        <v>7.6746657678858868E-2</v>
      </c>
      <c r="D30" s="105">
        <f>('Output - Jobs vs Yr (BAU)'!AH8+'Output - Jobs vs Yr (BAU)'!AH7)/'Output -Jobs vs Yr'!AH14</f>
        <v>7.6746657678858868E-2</v>
      </c>
      <c r="E30" s="107"/>
      <c r="F30" s="98"/>
      <c r="G30" s="96"/>
      <c r="H30"/>
      <c r="I30"/>
      <c r="J30"/>
      <c r="K30"/>
      <c r="L30"/>
    </row>
    <row r="31" spans="2:17">
      <c r="B31" t="s">
        <v>581</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707</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3.4722899310556901E-2</v>
      </c>
      <c r="D35" s="105">
        <f>'Output - Jobs vs Yr (BAU)'!N7/'Output -Jobs vs Yr'!N14</f>
        <v>3.4722899310556901E-2</v>
      </c>
      <c r="E35" s="203">
        <f>C35</f>
        <v>3.4722899310556901E-2</v>
      </c>
      <c r="F35" s="200">
        <f>C35*$C$29/$C$28</f>
        <v>3.2070327812653933E-2</v>
      </c>
      <c r="G35" s="204">
        <f>'Output - Jobs vs Yr (BAU)'!X7/'Output - Jobs vs Yr (BAU)'!X24</f>
        <v>3.3137239335491162E-2</v>
      </c>
      <c r="H35" s="200">
        <f>F35*$C$30/$C$29</f>
        <v>3.0930064580275491E-2</v>
      </c>
      <c r="I35" s="204">
        <f>'Output - Jobs vs Yr (BAU)'!AH7/'Output - Jobs vs Yr (BAU)'!AH24</f>
        <v>3.2067419858105503E-2</v>
      </c>
      <c r="J35"/>
      <c r="K35"/>
      <c r="L35"/>
    </row>
    <row r="36" spans="1:18" ht="15" thickBot="1">
      <c r="B36" s="4" t="s">
        <v>365</v>
      </c>
      <c r="C36" s="209">
        <f>D36</f>
        <v>5.1434905503863544E-2</v>
      </c>
      <c r="D36" s="105">
        <f>'Output - Jobs vs Yr (BAU)'!N8/'Output -Jobs vs Yr'!N14</f>
        <v>5.1434905503863544E-2</v>
      </c>
      <c r="E36" s="203">
        <f>C36</f>
        <v>5.1434905503863544E-2</v>
      </c>
      <c r="F36" s="200">
        <f>C36*$C$29/$C$28</f>
        <v>4.7505660911796879E-2</v>
      </c>
      <c r="G36" s="204">
        <f>'Output - Jobs vs Yr (BAU)'!X8/'Output - Jobs vs Yr (BAU)'!X24</f>
        <v>4.6438398235923065E-2</v>
      </c>
      <c r="H36" s="200">
        <f>F36*$C$30/$C$29</f>
        <v>4.5816593098583373E-2</v>
      </c>
      <c r="I36" s="204">
        <f>'Output - Jobs vs Yr (BAU)'!AH8/'Output - Jobs vs Yr (BAU)'!AH24</f>
        <v>4.4679129208188437E-2</v>
      </c>
      <c r="J36"/>
      <c r="K36"/>
      <c r="L36"/>
    </row>
    <row r="37" spans="1:18">
      <c r="B37" s="4" t="s">
        <v>369</v>
      </c>
      <c r="C37" s="138">
        <f>SUM(C35:C36)+'Output -Jobs vs Yr'!N30/'Output -Jobs vs Yr'!N49</f>
        <v>8.6157804814420452E-2</v>
      </c>
      <c r="D37" s="105">
        <f>SUM(D34:D36)</f>
        <v>8.6157804814420452E-2</v>
      </c>
      <c r="E37" s="203">
        <f>SUM(E34:E36)</f>
        <v>8.6157804814420452E-2</v>
      </c>
      <c r="F37" s="203">
        <f>SUM(F34:F36)</f>
        <v>7.9575988724450819E-2</v>
      </c>
      <c r="G37" s="203">
        <f>SUM(G34:G36)</f>
        <v>7.9575637571414226E-2</v>
      </c>
      <c r="H37" s="200">
        <f>C37*$C$30/$C$28</f>
        <v>7.6746657678858868E-2</v>
      </c>
      <c r="I37" s="203">
        <f>SUM(I34:I36)</f>
        <v>7.674654906629394E-2</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8,6%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0.12</v>
      </c>
      <c r="D40" s="105" t="s">
        <v>0</v>
      </c>
      <c r="E40" s="105" t="s">
        <v>0</v>
      </c>
      <c r="F40" s="105" t="s">
        <v>0</v>
      </c>
      <c r="G40" s="103" t="s">
        <v>0</v>
      </c>
      <c r="H40"/>
      <c r="I40"/>
      <c r="J40"/>
      <c r="K40"/>
      <c r="L40"/>
    </row>
    <row r="41" spans="1:18">
      <c r="B41" s="4" t="s">
        <v>375</v>
      </c>
      <c r="C41" s="105">
        <f>C24+C37</f>
        <v>0.20615780481442045</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7"/>
      <c r="J44" s="277"/>
      <c r="K44" s="277"/>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523</v>
      </c>
    </row>
    <row r="46" spans="1:18" s="1" customFormat="1" ht="15" thickBot="1">
      <c r="A46"/>
      <c r="B46" s="4" t="s">
        <v>121</v>
      </c>
      <c r="C46" s="84">
        <v>0.21</v>
      </c>
      <c r="D46" s="4" t="s">
        <v>0</v>
      </c>
      <c r="E46" s="28" t="s">
        <v>524</v>
      </c>
      <c r="F46" s="28"/>
      <c r="H46" s="49">
        <v>0.9</v>
      </c>
      <c r="I46" s="277"/>
      <c r="J46" s="277"/>
      <c r="K46" s="277"/>
      <c r="L46"/>
      <c r="M46" s="12">
        <f t="shared" si="7"/>
        <v>0.39900000000000002</v>
      </c>
      <c r="N46" s="28" t="s">
        <v>524</v>
      </c>
      <c r="O46"/>
      <c r="P46"/>
      <c r="Q46"/>
      <c r="R46"/>
    </row>
    <row r="47" spans="1:18" s="1" customFormat="1" ht="15" thickBot="1">
      <c r="A47"/>
      <c r="B47" s="4" t="s">
        <v>118</v>
      </c>
      <c r="C47" s="42">
        <v>0.18</v>
      </c>
      <c r="D47" s="4"/>
      <c r="E47" s="28" t="s">
        <v>524</v>
      </c>
      <c r="F47" s="28"/>
      <c r="H47" s="49">
        <v>0.9</v>
      </c>
      <c r="I47" s="277"/>
      <c r="J47" s="277"/>
      <c r="K47" s="277"/>
      <c r="L47"/>
      <c r="M47" s="12">
        <f t="shared" si="7"/>
        <v>0.34199999999999997</v>
      </c>
      <c r="N47" s="28" t="s">
        <v>524</v>
      </c>
      <c r="O47"/>
      <c r="P47"/>
      <c r="Q47"/>
    </row>
    <row r="48" spans="1:18" ht="15" thickBot="1">
      <c r="B48" s="4" t="s">
        <v>49</v>
      </c>
      <c r="C48" s="42">
        <v>0.15</v>
      </c>
      <c r="D48" s="4"/>
      <c r="E48" s="28" t="s">
        <v>524</v>
      </c>
      <c r="F48" s="28"/>
      <c r="G48" s="1"/>
      <c r="H48" s="49">
        <v>0.9</v>
      </c>
      <c r="I48" s="277"/>
      <c r="J48" s="277"/>
      <c r="K48" s="277"/>
      <c r="L48"/>
      <c r="M48" s="12">
        <f t="shared" si="7"/>
        <v>0.28500000000000003</v>
      </c>
      <c r="N48" s="28" t="s">
        <v>524</v>
      </c>
    </row>
    <row r="49" spans="1:17" s="1" customFormat="1" ht="15" thickBot="1">
      <c r="A49"/>
      <c r="B49" s="4" t="s">
        <v>50</v>
      </c>
      <c r="C49" s="42">
        <v>0.25</v>
      </c>
      <c r="D49" s="4" t="s">
        <v>0</v>
      </c>
      <c r="E49" s="28" t="s">
        <v>524</v>
      </c>
      <c r="F49" s="28"/>
      <c r="H49" s="49">
        <v>0.9</v>
      </c>
      <c r="I49" s="277"/>
      <c r="J49" s="277"/>
      <c r="K49" s="277"/>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7"/>
      <c r="J50" s="277"/>
      <c r="K50" s="277"/>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7"/>
      <c r="J51" s="277"/>
      <c r="K51" s="277"/>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7"/>
      <c r="J52" s="277"/>
      <c r="K52" s="277"/>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7"/>
      <c r="J53" s="277"/>
      <c r="K53" s="277"/>
      <c r="L53"/>
      <c r="M53" s="161">
        <f t="shared" si="7"/>
        <v>0.26600000000000001</v>
      </c>
      <c r="N53" s="28" t="s">
        <v>524</v>
      </c>
    </row>
    <row r="54" spans="1:17" ht="15" thickBot="1">
      <c r="B54" s="4" t="s">
        <v>347</v>
      </c>
      <c r="C54" s="84">
        <v>0.79</v>
      </c>
      <c r="D54" s="4" t="s">
        <v>0</v>
      </c>
      <c r="E54" s="28" t="s">
        <v>524</v>
      </c>
      <c r="F54" s="28"/>
      <c r="G54" s="110"/>
      <c r="H54" s="49">
        <v>0.9</v>
      </c>
      <c r="I54" s="277"/>
      <c r="J54" s="277"/>
      <c r="K54" s="277"/>
      <c r="L54"/>
      <c r="M54" s="12">
        <f t="shared" si="7"/>
        <v>1.5010000000000001</v>
      </c>
      <c r="N54" s="28" t="s">
        <v>524</v>
      </c>
    </row>
    <row r="55" spans="1:17" ht="15" thickBot="1">
      <c r="B55" s="4" t="s">
        <v>348</v>
      </c>
      <c r="C55" s="84">
        <v>0.23</v>
      </c>
      <c r="D55" s="4"/>
      <c r="E55" s="28" t="s">
        <v>524</v>
      </c>
      <c r="F55" s="28"/>
      <c r="G55" s="110"/>
      <c r="H55" s="49">
        <v>0.9</v>
      </c>
      <c r="I55" s="277"/>
      <c r="J55" s="277"/>
      <c r="K55" s="277"/>
      <c r="L55"/>
      <c r="M55" s="12">
        <f t="shared" si="7"/>
        <v>0.43700000000000006</v>
      </c>
      <c r="N55" s="28" t="s">
        <v>524</v>
      </c>
    </row>
    <row r="56" spans="1:17" ht="15.75" hidden="1" customHeight="1" thickBot="1">
      <c r="B56" s="4" t="s">
        <v>120</v>
      </c>
      <c r="C56" s="42">
        <v>0.11</v>
      </c>
      <c r="D56" s="4"/>
      <c r="E56" s="28" t="s">
        <v>524</v>
      </c>
      <c r="F56" s="28"/>
      <c r="G56" s="110"/>
      <c r="H56" s="49">
        <v>0.8</v>
      </c>
      <c r="I56" s="277"/>
      <c r="J56" s="277"/>
      <c r="K56" s="277"/>
      <c r="L56"/>
      <c r="M56" s="12">
        <f t="shared" si="7"/>
        <v>0.19800000000000001</v>
      </c>
      <c r="N56" s="28"/>
    </row>
    <row r="57" spans="1:17" ht="15" thickBot="1">
      <c r="B57" s="4" t="s">
        <v>53</v>
      </c>
      <c r="C57" s="84">
        <v>0.17</v>
      </c>
      <c r="D57" s="4" t="s">
        <v>0</v>
      </c>
      <c r="E57" s="28" t="s">
        <v>524</v>
      </c>
      <c r="F57" s="28"/>
      <c r="G57" s="110"/>
      <c r="H57" s="49">
        <v>0.9</v>
      </c>
      <c r="I57" s="277"/>
      <c r="J57" s="277"/>
      <c r="K57" s="277"/>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524</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524</v>
      </c>
      <c r="F60" s="28"/>
      <c r="G60" s="110"/>
      <c r="H60" s="49">
        <v>0.9</v>
      </c>
      <c r="I60" s="277"/>
      <c r="J60" s="277"/>
      <c r="K60" s="277"/>
      <c r="L60"/>
      <c r="M60" s="161">
        <f t="shared" si="7"/>
        <v>0.20900000000000002</v>
      </c>
      <c r="N60" s="28" t="s">
        <v>524</v>
      </c>
    </row>
    <row r="61" spans="1:17" ht="15" thickBot="1">
      <c r="B61" s="4" t="s">
        <v>76</v>
      </c>
      <c r="C61" s="42">
        <v>0.11</v>
      </c>
      <c r="D61" s="4"/>
      <c r="E61" s="28" t="s">
        <v>524</v>
      </c>
      <c r="F61" s="28"/>
      <c r="G61" s="110"/>
      <c r="H61" s="49">
        <v>0.9</v>
      </c>
      <c r="I61" s="277"/>
      <c r="J61" s="277"/>
      <c r="K61" s="277"/>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705</v>
      </c>
    </row>
    <row r="2" spans="1:37">
      <c r="A2" s="272" t="s">
        <v>657</v>
      </c>
    </row>
    <row r="3" spans="1:37">
      <c r="A3" s="272" t="s">
        <v>658</v>
      </c>
    </row>
    <row r="5" spans="1:37">
      <c r="A5" s="6" t="s">
        <v>185</v>
      </c>
    </row>
    <row r="6" spans="1:37">
      <c r="A6" s="6" t="s">
        <v>184</v>
      </c>
    </row>
    <row r="9" spans="1:37">
      <c r="AK9" s="300" t="s">
        <v>715</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582</v>
      </c>
      <c r="AB10" s="300" t="s">
        <v>583</v>
      </c>
      <c r="AC10" s="300" t="s">
        <v>584</v>
      </c>
      <c r="AD10" s="300" t="s">
        <v>585</v>
      </c>
      <c r="AE10" s="300" t="s">
        <v>586</v>
      </c>
      <c r="AF10" s="300" t="s">
        <v>587</v>
      </c>
      <c r="AG10" s="300" t="s">
        <v>588</v>
      </c>
      <c r="AH10" s="300" t="s">
        <v>589</v>
      </c>
      <c r="AI10" s="300" t="s">
        <v>590</v>
      </c>
      <c r="AJ10" s="300" t="s">
        <v>591</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691</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692</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693</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695</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694</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696</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697</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698</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699</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700</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701</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702</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703</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704</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595</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1" t="s">
        <v>596</v>
      </c>
      <c r="B78" s="561"/>
      <c r="C78" s="561"/>
      <c r="D78" s="561"/>
      <c r="E78" s="561"/>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298"/>
      <c r="AH78" s="298"/>
      <c r="AI78" s="298"/>
      <c r="AJ78" s="298"/>
      <c r="AK78" s="298"/>
    </row>
    <row r="79" spans="1:37" customFormat="1" ht="15" customHeight="1">
      <c r="A79" s="560" t="s">
        <v>597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297"/>
      <c r="AH79" s="297"/>
      <c r="AI79" s="297"/>
      <c r="AJ79" s="297"/>
      <c r="AK79" s="297"/>
    </row>
    <row r="80" spans="1:37" customFormat="1" ht="15" customHeight="1">
      <c r="A80" s="560" t="s">
        <v>598</v>
      </c>
      <c r="B80" s="560"/>
      <c r="C80" s="560"/>
      <c r="D80" s="560"/>
      <c r="E80" s="560"/>
      <c r="F80" s="560"/>
      <c r="G80" s="560"/>
      <c r="H80" s="560"/>
      <c r="I80" s="560"/>
      <c r="J80" s="560"/>
      <c r="K80" s="560"/>
      <c r="L80" s="560"/>
      <c r="M80" s="560"/>
      <c r="N80" s="560"/>
      <c r="O80" s="560"/>
      <c r="P80" s="560"/>
      <c r="Q80" s="560"/>
      <c r="R80" s="560"/>
      <c r="S80" s="560"/>
      <c r="T80" s="560"/>
      <c r="U80" s="560"/>
      <c r="V80" s="560"/>
      <c r="W80" s="560"/>
      <c r="X80" s="560"/>
      <c r="Y80" s="560"/>
      <c r="Z80" s="560"/>
      <c r="AA80" s="560"/>
      <c r="AB80" s="560"/>
      <c r="AC80" s="560"/>
      <c r="AD80" s="560"/>
      <c r="AE80" s="560"/>
      <c r="AF80" s="560"/>
      <c r="AG80" s="297"/>
      <c r="AH80" s="297"/>
      <c r="AI80" s="297"/>
      <c r="AJ80" s="297"/>
      <c r="AK80" s="297"/>
    </row>
    <row r="81" spans="1:37" customFormat="1" ht="15" customHeight="1">
      <c r="A81" s="560" t="s">
        <v>599</v>
      </c>
      <c r="B81" s="560"/>
      <c r="C81" s="560"/>
      <c r="D81" s="560"/>
      <c r="E81" s="560"/>
      <c r="F81" s="560"/>
      <c r="G81" s="560"/>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0"/>
      <c r="AF81" s="560"/>
      <c r="AG81" s="297"/>
      <c r="AH81" s="297"/>
      <c r="AI81" s="297"/>
      <c r="AJ81" s="297"/>
      <c r="AK81" s="297"/>
    </row>
    <row r="82" spans="1:37" customFormat="1" ht="15" customHeight="1">
      <c r="A82" s="560" t="s">
        <v>600</v>
      </c>
      <c r="B82" s="560"/>
      <c r="C82" s="560"/>
      <c r="D82" s="560"/>
      <c r="E82" s="560"/>
      <c r="F82" s="560"/>
      <c r="G82" s="560"/>
      <c r="H82" s="560"/>
      <c r="I82" s="560"/>
      <c r="J82" s="560"/>
      <c r="K82" s="560"/>
      <c r="L82" s="560"/>
      <c r="M82" s="560"/>
      <c r="N82" s="560"/>
      <c r="O82" s="560"/>
      <c r="P82" s="560"/>
      <c r="Q82" s="560"/>
      <c r="R82" s="560"/>
      <c r="S82" s="560"/>
      <c r="T82" s="560"/>
      <c r="U82" s="560"/>
      <c r="V82" s="560"/>
      <c r="W82" s="560"/>
      <c r="X82" s="560"/>
      <c r="Y82" s="560"/>
      <c r="Z82" s="560"/>
      <c r="AA82" s="560"/>
      <c r="AB82" s="560"/>
      <c r="AC82" s="560"/>
      <c r="AD82" s="560"/>
      <c r="AE82" s="560"/>
      <c r="AF82" s="560"/>
      <c r="AG82" s="297"/>
      <c r="AH82" s="297"/>
      <c r="AI82" s="297"/>
      <c r="AJ82" s="297"/>
      <c r="AK82" s="297"/>
    </row>
    <row r="83" spans="1:37" customFormat="1" ht="15" customHeight="1">
      <c r="A83" s="560" t="s">
        <v>601</v>
      </c>
      <c r="B83" s="560"/>
      <c r="C83" s="560"/>
      <c r="D83" s="560"/>
      <c r="E83" s="560"/>
      <c r="F83" s="560"/>
      <c r="G83" s="560"/>
      <c r="H83" s="560"/>
      <c r="I83" s="560"/>
      <c r="J83" s="560"/>
      <c r="K83" s="560"/>
      <c r="L83" s="560"/>
      <c r="M83" s="560"/>
      <c r="N83" s="560"/>
      <c r="O83" s="560"/>
      <c r="P83" s="560"/>
      <c r="Q83" s="560"/>
      <c r="R83" s="560"/>
      <c r="S83" s="560"/>
      <c r="T83" s="560"/>
      <c r="U83" s="560"/>
      <c r="V83" s="560"/>
      <c r="W83" s="560"/>
      <c r="X83" s="560"/>
      <c r="Y83" s="560"/>
      <c r="Z83" s="560"/>
      <c r="AA83" s="560"/>
      <c r="AB83" s="560"/>
      <c r="AC83" s="560"/>
      <c r="AD83" s="560"/>
      <c r="AE83" s="560"/>
      <c r="AF83" s="560"/>
      <c r="AG83" s="297"/>
      <c r="AH83" s="297"/>
      <c r="AI83" s="297"/>
      <c r="AJ83" s="297"/>
      <c r="AK83" s="297"/>
    </row>
    <row r="84" spans="1:37" customFormat="1" ht="15" customHeight="1">
      <c r="A84" s="560" t="s">
        <v>602</v>
      </c>
      <c r="B84" s="560"/>
      <c r="C84" s="560"/>
      <c r="D84" s="560"/>
      <c r="E84" s="560"/>
      <c r="F84" s="560"/>
      <c r="G84" s="560"/>
      <c r="H84" s="560"/>
      <c r="I84" s="560"/>
      <c r="J84" s="560"/>
      <c r="K84" s="560"/>
      <c r="L84" s="560"/>
      <c r="M84" s="560"/>
      <c r="N84" s="560"/>
      <c r="O84" s="560"/>
      <c r="P84" s="560"/>
      <c r="Q84" s="560"/>
      <c r="R84" s="560"/>
      <c r="S84" s="560"/>
      <c r="T84" s="560"/>
      <c r="U84" s="560"/>
      <c r="V84" s="560"/>
      <c r="W84" s="560"/>
      <c r="X84" s="560"/>
      <c r="Y84" s="560"/>
      <c r="Z84" s="560"/>
      <c r="AA84" s="560"/>
      <c r="AB84" s="560"/>
      <c r="AC84" s="560"/>
      <c r="AD84" s="560"/>
      <c r="AE84" s="560"/>
      <c r="AF84" s="560"/>
      <c r="AG84" s="297"/>
      <c r="AH84" s="297"/>
      <c r="AI84" s="297"/>
      <c r="AJ84" s="297"/>
      <c r="AK84" s="297"/>
    </row>
    <row r="85" spans="1:37" customFormat="1" ht="15" customHeight="1">
      <c r="A85" s="560" t="s">
        <v>603</v>
      </c>
      <c r="B85" s="560"/>
      <c r="C85" s="560"/>
      <c r="D85" s="560"/>
      <c r="E85" s="560"/>
      <c r="F85" s="560"/>
      <c r="G85" s="560"/>
      <c r="H85" s="560"/>
      <c r="I85" s="560"/>
      <c r="J85" s="560"/>
      <c r="K85" s="560"/>
      <c r="L85" s="560"/>
      <c r="M85" s="560"/>
      <c r="N85" s="560"/>
      <c r="O85" s="560"/>
      <c r="P85" s="560"/>
      <c r="Q85" s="560"/>
      <c r="R85" s="560"/>
      <c r="S85" s="560"/>
      <c r="T85" s="560"/>
      <c r="U85" s="560"/>
      <c r="V85" s="560"/>
      <c r="W85" s="560"/>
      <c r="X85" s="560"/>
      <c r="Y85" s="560"/>
      <c r="Z85" s="560"/>
      <c r="AA85" s="560"/>
      <c r="AB85" s="560"/>
      <c r="AC85" s="560"/>
      <c r="AD85" s="560"/>
      <c r="AE85" s="560"/>
      <c r="AF85" s="560"/>
      <c r="AG85" s="297"/>
      <c r="AH85" s="297"/>
      <c r="AI85" s="297"/>
      <c r="AJ85" s="297"/>
      <c r="AK85" s="297"/>
    </row>
    <row r="86" spans="1:37" customFormat="1" ht="15" customHeight="1">
      <c r="A86" s="560" t="s">
        <v>604</v>
      </c>
      <c r="B86" s="560"/>
      <c r="C86" s="560"/>
      <c r="D86" s="560"/>
      <c r="E86" s="560"/>
      <c r="F86" s="560"/>
      <c r="G86" s="560"/>
      <c r="H86" s="560"/>
      <c r="I86" s="560"/>
      <c r="J86" s="560"/>
      <c r="K86" s="560"/>
      <c r="L86" s="560"/>
      <c r="M86" s="560"/>
      <c r="N86" s="560"/>
      <c r="O86" s="560"/>
      <c r="P86" s="560"/>
      <c r="Q86" s="560"/>
      <c r="R86" s="560"/>
      <c r="S86" s="560"/>
      <c r="T86" s="560"/>
      <c r="U86" s="560"/>
      <c r="V86" s="560"/>
      <c r="W86" s="560"/>
      <c r="X86" s="560"/>
      <c r="Y86" s="560"/>
      <c r="Z86" s="560"/>
      <c r="AA86" s="560"/>
      <c r="AB86" s="560"/>
      <c r="AC86" s="560"/>
      <c r="AD86" s="560"/>
      <c r="AE86" s="560"/>
      <c r="AF86" s="560"/>
      <c r="AG86" s="297"/>
      <c r="AH86" s="297"/>
      <c r="AI86" s="297"/>
      <c r="AJ86" s="297"/>
      <c r="AK86" s="297"/>
    </row>
    <row r="87" spans="1:37" customFormat="1" ht="15" customHeight="1">
      <c r="A87" s="560" t="s">
        <v>605</v>
      </c>
      <c r="B87" s="560"/>
      <c r="C87" s="560"/>
      <c r="D87" s="560"/>
      <c r="E87" s="560"/>
      <c r="F87" s="560"/>
      <c r="G87" s="560"/>
      <c r="H87" s="560"/>
      <c r="I87" s="560"/>
      <c r="J87" s="560"/>
      <c r="K87" s="560"/>
      <c r="L87" s="560"/>
      <c r="M87" s="560"/>
      <c r="N87" s="560"/>
      <c r="O87" s="560"/>
      <c r="P87" s="560"/>
      <c r="Q87" s="560"/>
      <c r="R87" s="560"/>
      <c r="S87" s="560"/>
      <c r="T87" s="560"/>
      <c r="U87" s="560"/>
      <c r="V87" s="560"/>
      <c r="W87" s="560"/>
      <c r="X87" s="560"/>
      <c r="Y87" s="560"/>
      <c r="Z87" s="560"/>
      <c r="AA87" s="560"/>
      <c r="AB87" s="560"/>
      <c r="AC87" s="560"/>
      <c r="AD87" s="560"/>
      <c r="AE87" s="560"/>
      <c r="AF87" s="560"/>
      <c r="AG87" s="297"/>
      <c r="AH87" s="297"/>
      <c r="AI87" s="297"/>
      <c r="AJ87" s="297"/>
      <c r="AK87" s="297"/>
    </row>
    <row r="88" spans="1:37" customFormat="1" ht="15" customHeight="1">
      <c r="A88" s="560" t="s">
        <v>606</v>
      </c>
      <c r="B88" s="560"/>
      <c r="C88" s="560"/>
      <c r="D88" s="560"/>
      <c r="E88" s="560"/>
      <c r="F88" s="560"/>
      <c r="G88" s="560"/>
      <c r="H88" s="560"/>
      <c r="I88" s="560"/>
      <c r="J88" s="560"/>
      <c r="K88" s="560"/>
      <c r="L88" s="560"/>
      <c r="M88" s="560"/>
      <c r="N88" s="560"/>
      <c r="O88" s="560"/>
      <c r="P88" s="560"/>
      <c r="Q88" s="560"/>
      <c r="R88" s="560"/>
      <c r="S88" s="560"/>
      <c r="T88" s="560"/>
      <c r="U88" s="560"/>
      <c r="V88" s="560"/>
      <c r="W88" s="560"/>
      <c r="X88" s="560"/>
      <c r="Y88" s="560"/>
      <c r="Z88" s="560"/>
      <c r="AA88" s="560"/>
      <c r="AB88" s="560"/>
      <c r="AC88" s="560"/>
      <c r="AD88" s="560"/>
      <c r="AE88" s="560"/>
      <c r="AF88" s="560"/>
      <c r="AG88" s="297"/>
      <c r="AH88" s="297"/>
      <c r="AI88" s="297"/>
      <c r="AJ88" s="297"/>
      <c r="AK88" s="297"/>
    </row>
    <row r="89" spans="1:37" customFormat="1" ht="15" customHeight="1">
      <c r="A89" s="560" t="s">
        <v>607</v>
      </c>
      <c r="B89" s="560"/>
      <c r="C89" s="560"/>
      <c r="D89" s="560"/>
      <c r="E89" s="560"/>
      <c r="F89" s="560"/>
      <c r="G89" s="560"/>
      <c r="H89" s="560"/>
      <c r="I89" s="560"/>
      <c r="J89" s="560"/>
      <c r="K89" s="560"/>
      <c r="L89" s="560"/>
      <c r="M89" s="560"/>
      <c r="N89" s="560"/>
      <c r="O89" s="560"/>
      <c r="P89" s="560"/>
      <c r="Q89" s="560"/>
      <c r="R89" s="560"/>
      <c r="S89" s="560"/>
      <c r="T89" s="560"/>
      <c r="U89" s="560"/>
      <c r="V89" s="560"/>
      <c r="W89" s="560"/>
      <c r="X89" s="560"/>
      <c r="Y89" s="560"/>
      <c r="Z89" s="560"/>
      <c r="AA89" s="560"/>
      <c r="AB89" s="560"/>
      <c r="AC89" s="560"/>
      <c r="AD89" s="560"/>
      <c r="AE89" s="560"/>
      <c r="AF89" s="560"/>
      <c r="AG89" s="297"/>
      <c r="AH89" s="297"/>
      <c r="AI89" s="297"/>
      <c r="AJ89" s="297"/>
      <c r="AK89" s="297"/>
    </row>
    <row r="90" spans="1:37" customFormat="1" ht="15" customHeight="1">
      <c r="A90" s="560" t="s">
        <v>608</v>
      </c>
      <c r="B90" s="560"/>
      <c r="C90" s="560"/>
      <c r="D90" s="560"/>
      <c r="E90" s="560"/>
      <c r="F90" s="560"/>
      <c r="G90" s="560"/>
      <c r="H90" s="560"/>
      <c r="I90" s="560"/>
      <c r="J90" s="560"/>
      <c r="K90" s="560"/>
      <c r="L90" s="560"/>
      <c r="M90" s="560"/>
      <c r="N90" s="560"/>
      <c r="O90" s="560"/>
      <c r="P90" s="560"/>
      <c r="Q90" s="560"/>
      <c r="R90" s="560"/>
      <c r="S90" s="560"/>
      <c r="T90" s="560"/>
      <c r="U90" s="560"/>
      <c r="V90" s="560"/>
      <c r="W90" s="560"/>
      <c r="X90" s="560"/>
      <c r="Y90" s="560"/>
      <c r="Z90" s="560"/>
      <c r="AA90" s="560"/>
      <c r="AB90" s="560"/>
      <c r="AC90" s="560"/>
      <c r="AD90" s="560"/>
      <c r="AE90" s="560"/>
      <c r="AF90" s="560"/>
      <c r="AG90" s="297"/>
      <c r="AH90" s="297"/>
      <c r="AI90" s="297"/>
      <c r="AJ90" s="297"/>
      <c r="AK90" s="297"/>
    </row>
    <row r="91" spans="1:37" customFormat="1" ht="15" customHeight="1">
      <c r="A91" s="560" t="s">
        <v>609</v>
      </c>
      <c r="B91" s="560"/>
      <c r="C91" s="560"/>
      <c r="D91" s="560"/>
      <c r="E91" s="560"/>
      <c r="F91" s="560"/>
      <c r="G91" s="560"/>
      <c r="H91" s="560"/>
      <c r="I91" s="560"/>
      <c r="J91" s="560"/>
      <c r="K91" s="560"/>
      <c r="L91" s="560"/>
      <c r="M91" s="560"/>
      <c r="N91" s="560"/>
      <c r="O91" s="560"/>
      <c r="P91" s="560"/>
      <c r="Q91" s="560"/>
      <c r="R91" s="560"/>
      <c r="S91" s="560"/>
      <c r="T91" s="560"/>
      <c r="U91" s="560"/>
      <c r="V91" s="560"/>
      <c r="W91" s="560"/>
      <c r="X91" s="560"/>
      <c r="Y91" s="560"/>
      <c r="Z91" s="560"/>
      <c r="AA91" s="560"/>
      <c r="AB91" s="560"/>
      <c r="AC91" s="560"/>
      <c r="AD91" s="560"/>
      <c r="AE91" s="560"/>
      <c r="AF91" s="560"/>
      <c r="AG91" s="297"/>
      <c r="AH91" s="297"/>
      <c r="AI91" s="297"/>
      <c r="AJ91" s="297"/>
      <c r="AK91" s="297"/>
    </row>
    <row r="92" spans="1:37" customFormat="1" ht="15" customHeight="1">
      <c r="A92" s="560" t="s">
        <v>610</v>
      </c>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c r="AG92" s="297"/>
      <c r="AH92" s="297"/>
      <c r="AI92" s="297"/>
      <c r="AJ92" s="297"/>
      <c r="AK92" s="297"/>
    </row>
    <row r="93" spans="1:37" customFormat="1" ht="15" customHeight="1">
      <c r="A93" s="560" t="s">
        <v>611</v>
      </c>
      <c r="B93" s="560"/>
      <c r="C93" s="560"/>
      <c r="D93" s="560"/>
      <c r="E93" s="560"/>
      <c r="F93" s="560"/>
      <c r="G93" s="560"/>
      <c r="H93" s="560"/>
      <c r="I93" s="560"/>
      <c r="J93" s="560"/>
      <c r="K93" s="560"/>
      <c r="L93" s="560"/>
      <c r="M93" s="560"/>
      <c r="N93" s="560"/>
      <c r="O93" s="560"/>
      <c r="P93" s="560"/>
      <c r="Q93" s="560"/>
      <c r="R93" s="560"/>
      <c r="S93" s="560"/>
      <c r="T93" s="560"/>
      <c r="U93" s="560"/>
      <c r="V93" s="560"/>
      <c r="W93" s="560"/>
      <c r="X93" s="560"/>
      <c r="Y93" s="560"/>
      <c r="Z93" s="560"/>
      <c r="AA93" s="560"/>
      <c r="AB93" s="560"/>
      <c r="AC93" s="560"/>
      <c r="AD93" s="560"/>
      <c r="AE93" s="560"/>
      <c r="AF93" s="560"/>
      <c r="AG93" s="297"/>
      <c r="AH93" s="297"/>
      <c r="AI93" s="297"/>
      <c r="AJ93" s="297"/>
      <c r="AK93" s="297"/>
    </row>
    <row r="94" spans="1:37" customFormat="1" ht="15" customHeight="1">
      <c r="A94" s="560" t="s">
        <v>612</v>
      </c>
      <c r="B94" s="560"/>
      <c r="C94" s="560"/>
      <c r="D94" s="560"/>
      <c r="E94" s="560"/>
      <c r="F94" s="560"/>
      <c r="G94" s="560"/>
      <c r="H94" s="560"/>
      <c r="I94" s="560"/>
      <c r="J94" s="560"/>
      <c r="K94" s="560"/>
      <c r="L94" s="560"/>
      <c r="M94" s="560"/>
      <c r="N94" s="560"/>
      <c r="O94" s="560"/>
      <c r="P94" s="560"/>
      <c r="Q94" s="560"/>
      <c r="R94" s="560"/>
      <c r="S94" s="560"/>
      <c r="T94" s="560"/>
      <c r="U94" s="560"/>
      <c r="V94" s="560"/>
      <c r="W94" s="560"/>
      <c r="X94" s="560"/>
      <c r="Y94" s="560"/>
      <c r="Z94" s="560"/>
      <c r="AA94" s="560"/>
      <c r="AB94" s="560"/>
      <c r="AC94" s="560"/>
      <c r="AD94" s="560"/>
      <c r="AE94" s="560"/>
      <c r="AF94" s="560"/>
      <c r="AG94" s="297"/>
      <c r="AH94" s="297"/>
      <c r="AI94" s="297"/>
      <c r="AJ94" s="297"/>
      <c r="AK94" s="297"/>
    </row>
    <row r="95" spans="1:37" customFormat="1" ht="15" customHeight="1">
      <c r="A95" s="560" t="s">
        <v>613</v>
      </c>
      <c r="B95" s="560"/>
      <c r="C95" s="560"/>
      <c r="D95" s="560"/>
      <c r="E95" s="560"/>
      <c r="F95" s="560"/>
      <c r="G95" s="560"/>
      <c r="H95" s="560"/>
      <c r="I95" s="560"/>
      <c r="J95" s="560"/>
      <c r="K95" s="560"/>
      <c r="L95" s="560"/>
      <c r="M95" s="560"/>
      <c r="N95" s="560"/>
      <c r="O95" s="560"/>
      <c r="P95" s="560"/>
      <c r="Q95" s="560"/>
      <c r="R95" s="560"/>
      <c r="S95" s="560"/>
      <c r="T95" s="560"/>
      <c r="U95" s="560"/>
      <c r="V95" s="560"/>
      <c r="W95" s="560"/>
      <c r="X95" s="560"/>
      <c r="Y95" s="560"/>
      <c r="Z95" s="560"/>
      <c r="AA95" s="560"/>
      <c r="AB95" s="560"/>
      <c r="AC95" s="560"/>
      <c r="AD95" s="560"/>
      <c r="AE95" s="560"/>
      <c r="AF95" s="560"/>
      <c r="AG95" s="297"/>
      <c r="AH95" s="297"/>
      <c r="AI95" s="297"/>
      <c r="AJ95" s="297"/>
      <c r="AK95" s="297"/>
    </row>
    <row r="96" spans="1:37" customFormat="1" ht="15" customHeight="1">
      <c r="A96" s="560" t="s">
        <v>614</v>
      </c>
      <c r="B96" s="560"/>
      <c r="C96" s="560"/>
      <c r="D96" s="560"/>
      <c r="E96" s="560"/>
      <c r="F96" s="560"/>
      <c r="G96" s="560"/>
      <c r="H96" s="560"/>
      <c r="I96" s="560"/>
      <c r="J96" s="560"/>
      <c r="K96" s="560"/>
      <c r="L96" s="560"/>
      <c r="M96" s="560"/>
      <c r="N96" s="560"/>
      <c r="O96" s="560"/>
      <c r="P96" s="560"/>
      <c r="Q96" s="560"/>
      <c r="R96" s="560"/>
      <c r="S96" s="560"/>
      <c r="T96" s="560"/>
      <c r="U96" s="560"/>
      <c r="V96" s="560"/>
      <c r="W96" s="560"/>
      <c r="X96" s="560"/>
      <c r="Y96" s="560"/>
      <c r="Z96" s="560"/>
      <c r="AA96" s="560"/>
      <c r="AB96" s="560"/>
      <c r="AC96" s="560"/>
      <c r="AD96" s="560"/>
      <c r="AE96" s="560"/>
      <c r="AF96" s="560"/>
      <c r="AG96" s="297"/>
      <c r="AH96" s="297"/>
      <c r="AI96" s="297"/>
      <c r="AJ96" s="297"/>
      <c r="AK96" s="297"/>
    </row>
    <row r="97" spans="1:37" customFormat="1" ht="15" customHeight="1">
      <c r="A97" s="560" t="s">
        <v>615</v>
      </c>
      <c r="B97" s="560"/>
      <c r="C97" s="560"/>
      <c r="D97" s="560"/>
      <c r="E97" s="560"/>
      <c r="F97" s="560"/>
      <c r="G97" s="560"/>
      <c r="H97" s="560"/>
      <c r="I97" s="560"/>
      <c r="J97" s="560"/>
      <c r="K97" s="560"/>
      <c r="L97" s="560"/>
      <c r="M97" s="560"/>
      <c r="N97" s="560"/>
      <c r="O97" s="560"/>
      <c r="P97" s="560"/>
      <c r="Q97" s="560"/>
      <c r="R97" s="560"/>
      <c r="S97" s="560"/>
      <c r="T97" s="560"/>
      <c r="U97" s="560"/>
      <c r="V97" s="560"/>
      <c r="W97" s="560"/>
      <c r="X97" s="560"/>
      <c r="Y97" s="560"/>
      <c r="Z97" s="560"/>
      <c r="AA97" s="560"/>
      <c r="AB97" s="560"/>
      <c r="AC97" s="560"/>
      <c r="AD97" s="560"/>
      <c r="AE97" s="560"/>
      <c r="AF97" s="560"/>
      <c r="AG97" s="297"/>
      <c r="AH97" s="297"/>
      <c r="AI97" s="297"/>
      <c r="AJ97" s="297"/>
      <c r="AK97" s="297"/>
    </row>
    <row r="98" spans="1:37" customFormat="1" ht="15" customHeight="1">
      <c r="A98" s="560" t="s">
        <v>616</v>
      </c>
      <c r="B98" s="560"/>
      <c r="C98" s="560"/>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c r="AG98" s="297"/>
      <c r="AH98" s="297"/>
      <c r="AI98" s="297"/>
      <c r="AJ98" s="297"/>
      <c r="AK98" s="297"/>
    </row>
    <row r="99" spans="1:37" customFormat="1" ht="15" customHeight="1">
      <c r="A99" s="560" t="s">
        <v>617</v>
      </c>
      <c r="B99" s="560"/>
      <c r="C99" s="560"/>
      <c r="D99" s="560"/>
      <c r="E99" s="560"/>
      <c r="F99" s="560"/>
      <c r="G99" s="560"/>
      <c r="H99" s="560"/>
      <c r="I99" s="560"/>
      <c r="J99" s="560"/>
      <c r="K99" s="560"/>
      <c r="L99" s="560"/>
      <c r="M99" s="560"/>
      <c r="N99" s="560"/>
      <c r="O99" s="560"/>
      <c r="P99" s="560"/>
      <c r="Q99" s="560"/>
      <c r="R99" s="560"/>
      <c r="S99" s="560"/>
      <c r="T99" s="560"/>
      <c r="U99" s="560"/>
      <c r="V99" s="560"/>
      <c r="W99" s="560"/>
      <c r="X99" s="560"/>
      <c r="Y99" s="560"/>
      <c r="Z99" s="560"/>
      <c r="AA99" s="560"/>
      <c r="AB99" s="560"/>
      <c r="AC99" s="560"/>
      <c r="AD99" s="560"/>
      <c r="AE99" s="560"/>
      <c r="AF99" s="560"/>
      <c r="AG99" s="297"/>
      <c r="AH99" s="297"/>
      <c r="AI99" s="297"/>
      <c r="AJ99" s="297"/>
      <c r="AK99" s="297"/>
    </row>
    <row r="100" spans="1:37" customFormat="1" ht="15" customHeight="1">
      <c r="A100" s="560" t="s">
        <v>618</v>
      </c>
      <c r="B100" s="560"/>
      <c r="C100" s="560"/>
      <c r="D100" s="560"/>
      <c r="E100" s="560"/>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c r="AB100" s="560"/>
      <c r="AC100" s="560"/>
      <c r="AD100" s="560"/>
      <c r="AE100" s="560"/>
      <c r="AF100" s="560"/>
      <c r="AG100" s="297"/>
      <c r="AH100" s="297"/>
      <c r="AI100" s="297"/>
      <c r="AJ100" s="297"/>
      <c r="AK100" s="297"/>
    </row>
    <row r="101" spans="1:37" customFormat="1" ht="15" customHeight="1">
      <c r="A101" s="560" t="s">
        <v>619</v>
      </c>
      <c r="B101" s="560"/>
      <c r="C101" s="560"/>
      <c r="D101" s="560"/>
      <c r="E101" s="560"/>
      <c r="F101" s="560"/>
      <c r="G101" s="560"/>
      <c r="H101" s="560"/>
      <c r="I101" s="560"/>
      <c r="J101" s="560"/>
      <c r="K101" s="560"/>
      <c r="L101" s="560"/>
      <c r="M101" s="560"/>
      <c r="N101" s="560"/>
      <c r="O101" s="560"/>
      <c r="P101" s="560"/>
      <c r="Q101" s="560"/>
      <c r="R101" s="560"/>
      <c r="S101" s="560"/>
      <c r="T101" s="560"/>
      <c r="U101" s="560"/>
      <c r="V101" s="560"/>
      <c r="W101" s="560"/>
      <c r="X101" s="560"/>
      <c r="Y101" s="560"/>
      <c r="Z101" s="560"/>
      <c r="AA101" s="560"/>
      <c r="AB101" s="560"/>
      <c r="AC101" s="560"/>
      <c r="AD101" s="560"/>
      <c r="AE101" s="560"/>
      <c r="AF101" s="560"/>
      <c r="AG101" s="297"/>
      <c r="AH101" s="297"/>
      <c r="AI101" s="297"/>
      <c r="AJ101" s="297"/>
      <c r="AK101" s="297"/>
    </row>
    <row r="102" spans="1:37" customFormat="1" ht="15" customHeight="1">
      <c r="A102" s="560" t="s">
        <v>620</v>
      </c>
      <c r="B102" s="560"/>
      <c r="C102" s="560"/>
      <c r="D102" s="560"/>
      <c r="E102" s="560"/>
      <c r="F102" s="560"/>
      <c r="G102" s="560"/>
      <c r="H102" s="560"/>
      <c r="I102" s="560"/>
      <c r="J102" s="560"/>
      <c r="K102" s="560"/>
      <c r="L102" s="560"/>
      <c r="M102" s="560"/>
      <c r="N102" s="560"/>
      <c r="O102" s="560"/>
      <c r="P102" s="560"/>
      <c r="Q102" s="560"/>
      <c r="R102" s="560"/>
      <c r="S102" s="560"/>
      <c r="T102" s="560"/>
      <c r="U102" s="560"/>
      <c r="V102" s="560"/>
      <c r="W102" s="560"/>
      <c r="X102" s="560"/>
      <c r="Y102" s="560"/>
      <c r="Z102" s="560"/>
      <c r="AA102" s="560"/>
      <c r="AB102" s="560"/>
      <c r="AC102" s="560"/>
      <c r="AD102" s="560"/>
      <c r="AE102" s="560"/>
      <c r="AF102" s="560"/>
      <c r="AG102" s="297"/>
      <c r="AH102" s="297"/>
      <c r="AI102" s="297"/>
      <c r="AJ102" s="297"/>
      <c r="AK102" s="297"/>
    </row>
    <row r="103" spans="1:37" customFormat="1" ht="15" customHeight="1">
      <c r="A103" s="560" t="s">
        <v>621</v>
      </c>
      <c r="B103" s="560"/>
      <c r="C103" s="560"/>
      <c r="D103" s="560"/>
      <c r="E103" s="560"/>
      <c r="F103" s="560"/>
      <c r="G103" s="560"/>
      <c r="H103" s="560"/>
      <c r="I103" s="560"/>
      <c r="J103" s="560"/>
      <c r="K103" s="560"/>
      <c r="L103" s="560"/>
      <c r="M103" s="560"/>
      <c r="N103" s="560"/>
      <c r="O103" s="560"/>
      <c r="P103" s="560"/>
      <c r="Q103" s="560"/>
      <c r="R103" s="560"/>
      <c r="S103" s="560"/>
      <c r="T103" s="560"/>
      <c r="U103" s="560"/>
      <c r="V103" s="560"/>
      <c r="W103" s="560"/>
      <c r="X103" s="560"/>
      <c r="Y103" s="560"/>
      <c r="Z103" s="560"/>
      <c r="AA103" s="560"/>
      <c r="AB103" s="560"/>
      <c r="AC103" s="560"/>
      <c r="AD103" s="560"/>
      <c r="AE103" s="560"/>
      <c r="AF103" s="560"/>
      <c r="AG103" s="297"/>
      <c r="AH103" s="297"/>
      <c r="AI103" s="297"/>
      <c r="AJ103" s="297"/>
      <c r="AK103" s="297"/>
    </row>
    <row r="104" spans="1:37" customFormat="1" ht="15" customHeight="1">
      <c r="A104" s="560" t="s">
        <v>622</v>
      </c>
      <c r="B104" s="560"/>
      <c r="C104" s="560"/>
      <c r="D104" s="560"/>
      <c r="E104" s="560"/>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c r="AG104" s="297"/>
      <c r="AH104" s="297"/>
      <c r="AI104" s="297"/>
      <c r="AJ104" s="297"/>
      <c r="AK104" s="297"/>
    </row>
    <row r="105" spans="1:37" customFormat="1" ht="15" customHeight="1">
      <c r="A105" s="560" t="s">
        <v>623</v>
      </c>
      <c r="B105" s="560"/>
      <c r="C105" s="560"/>
      <c r="D105" s="560"/>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297"/>
      <c r="AH105" s="297"/>
      <c r="AI105" s="297"/>
      <c r="AJ105" s="297"/>
      <c r="AK105" s="297"/>
    </row>
    <row r="106" spans="1:37" customFormat="1" ht="15" customHeight="1">
      <c r="A106" s="560" t="s">
        <v>624</v>
      </c>
      <c r="B106" s="560"/>
      <c r="C106" s="560"/>
      <c r="D106" s="560"/>
      <c r="E106" s="560"/>
      <c r="F106" s="560"/>
      <c r="G106" s="560"/>
      <c r="H106" s="560"/>
      <c r="I106" s="560"/>
      <c r="J106" s="560"/>
      <c r="K106" s="560"/>
      <c r="L106" s="560"/>
      <c r="M106" s="560"/>
      <c r="N106" s="560"/>
      <c r="O106" s="560"/>
      <c r="P106" s="560"/>
      <c r="Q106" s="560"/>
      <c r="R106" s="560"/>
      <c r="S106" s="560"/>
      <c r="T106" s="560"/>
      <c r="U106" s="560"/>
      <c r="V106" s="560"/>
      <c r="W106" s="560"/>
      <c r="X106" s="560"/>
      <c r="Y106" s="560"/>
      <c r="Z106" s="560"/>
      <c r="AA106" s="560"/>
      <c r="AB106" s="560"/>
      <c r="AC106" s="560"/>
      <c r="AD106" s="560"/>
      <c r="AE106" s="560"/>
      <c r="AF106" s="560"/>
      <c r="AG106" s="297"/>
      <c r="AH106" s="297"/>
      <c r="AI106" s="297"/>
      <c r="AJ106" s="297"/>
      <c r="AK106" s="297"/>
    </row>
    <row r="107" spans="1:37" customFormat="1" ht="15" customHeight="1">
      <c r="A107" s="560" t="s">
        <v>625</v>
      </c>
      <c r="B107" s="560"/>
      <c r="C107" s="560"/>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c r="AG107" s="297"/>
      <c r="AH107" s="297"/>
      <c r="AI107" s="297"/>
      <c r="AJ107" s="297"/>
      <c r="AK107" s="297"/>
    </row>
    <row r="108" spans="1:37" customFormat="1" ht="15" customHeight="1">
      <c r="A108" s="560" t="s">
        <v>626</v>
      </c>
      <c r="B108" s="560"/>
      <c r="C108" s="560"/>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0"/>
      <c r="AD108" s="560"/>
      <c r="AE108" s="560"/>
      <c r="AF108" s="560"/>
      <c r="AG108" s="297"/>
      <c r="AH108" s="297"/>
      <c r="AI108" s="297"/>
      <c r="AJ108" s="297"/>
      <c r="AK108" s="297"/>
    </row>
    <row r="109" spans="1:37" customFormat="1" ht="15" customHeight="1">
      <c r="A109" s="560" t="s">
        <v>627</v>
      </c>
      <c r="B109" s="560"/>
      <c r="C109" s="560"/>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0"/>
      <c r="AD109" s="560"/>
      <c r="AE109" s="560"/>
      <c r="AF109" s="560"/>
      <c r="AG109" s="297"/>
      <c r="AH109" s="297"/>
      <c r="AI109" s="297"/>
      <c r="AJ109" s="297"/>
      <c r="AK109" s="297"/>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39"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1"/>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row>
    <row r="2" spans="1:38" hidden="1">
      <c r="A2" s="531"/>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row>
    <row r="3" spans="1:38" hidden="1">
      <c r="A3" s="531"/>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row>
    <row r="4" spans="1:38" hidden="1">
      <c r="A4" s="531"/>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row>
    <row r="5" spans="1:38" hidden="1">
      <c r="A5" s="531"/>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row>
    <row r="6" spans="1:38" hidden="1">
      <c r="A6" s="531"/>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row>
    <row r="7" spans="1:38" ht="23.25" hidden="1" customHeight="1">
      <c r="A7" s="531"/>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row>
    <row r="8" spans="1:38" s="159" customFormat="1" ht="15.75" hidden="1" customHeight="1">
      <c r="A8" s="531"/>
      <c r="B8" s="531"/>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row>
    <row r="9" spans="1:38" ht="21" hidden="1" customHeight="1">
      <c r="A9" s="531"/>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59958.000000000007</v>
      </c>
      <c r="D13" s="330">
        <f>EIA_electricity_aeo2014!F58*1000</f>
        <v>64314.000000000007</v>
      </c>
      <c r="E13" s="330">
        <f>EIA_electricity_aeo2014!G58*1000</f>
        <v>63140.544554195854</v>
      </c>
      <c r="F13" s="330">
        <f>EIA_electricity_aeo2014!H58*1000</f>
        <v>61888.551296385172</v>
      </c>
      <c r="G13" s="330">
        <f>EIA_electricity_aeo2014!I58*1000</f>
        <v>58165.443553990699</v>
      </c>
      <c r="H13" s="286">
        <f>EIA_electricity_aeo2014!J58*1000</f>
        <v>59189.965898523005</v>
      </c>
      <c r="I13" s="83">
        <f>EIA_electricity_aeo2014!K58*1000</f>
        <v>60781.083812904719</v>
      </c>
      <c r="J13" s="83">
        <f>EIA_electricity_aeo2014!L58*1000</f>
        <v>61066.717401996328</v>
      </c>
      <c r="K13" s="83">
        <f>EIA_electricity_aeo2014!M58*1000</f>
        <v>62336.344629325758</v>
      </c>
      <c r="L13" s="83">
        <f>EIA_electricity_aeo2014!N58*1000</f>
        <v>61401.642542502181</v>
      </c>
      <c r="M13" s="83">
        <f>EIA_electricity_aeo2014!O58*1000</f>
        <v>62585.085905779037</v>
      </c>
      <c r="N13" s="177">
        <f>EIA_electricity_aeo2014!P58*1000</f>
        <v>61379.896960496146</v>
      </c>
      <c r="O13" s="83">
        <f>EIA_electricity_aeo2014!Q58*1000</f>
        <v>62103.001041592011</v>
      </c>
      <c r="P13" s="83">
        <f>EIA_electricity_aeo2014!R58*1000</f>
        <v>62521.111633738008</v>
      </c>
      <c r="Q13" s="83">
        <f>EIA_electricity_aeo2014!S58*1000</f>
        <v>63640.243361979519</v>
      </c>
      <c r="R13" s="83">
        <f>EIA_electricity_aeo2014!T58*1000</f>
        <v>64302.453604512593</v>
      </c>
      <c r="S13" s="83">
        <f>EIA_electricity_aeo2014!U58*1000</f>
        <v>64634.301041274288</v>
      </c>
      <c r="T13" s="83">
        <f>EIA_electricity_aeo2014!V58*1000</f>
        <v>65529.708973021414</v>
      </c>
      <c r="U13" s="83">
        <f>EIA_electricity_aeo2014!W58*1000</f>
        <v>66362.653083784695</v>
      </c>
      <c r="V13" s="83">
        <f>EIA_electricity_aeo2014!X58*1000</f>
        <v>66629.134339050332</v>
      </c>
      <c r="W13" s="83">
        <f>EIA_electricity_aeo2014!Y58*1000</f>
        <v>67374.25149798223</v>
      </c>
      <c r="X13" s="184">
        <f>EIA_electricity_aeo2014!Z58*1000</f>
        <v>67983.724426531699</v>
      </c>
      <c r="Y13" s="174">
        <f>EIA_electricity_aeo2014!AA58*1000</f>
        <v>68228.401158799403</v>
      </c>
      <c r="Z13" s="174">
        <f>EIA_electricity_aeo2014!AB58*1000</f>
        <v>68464.199148787928</v>
      </c>
      <c r="AA13" s="174">
        <f>EIA_electricity_aeo2014!AC58*1000</f>
        <v>68665.061956113001</v>
      </c>
      <c r="AB13" s="174">
        <f>EIA_electricity_aeo2014!AD58*1000</f>
        <v>68316.713176369638</v>
      </c>
      <c r="AC13" s="174">
        <f>EIA_electricity_aeo2014!AE58*1000</f>
        <v>68701.673110463962</v>
      </c>
      <c r="AD13" s="174">
        <f>EIA_electricity_aeo2014!AF58*1000</f>
        <v>68631.390164597513</v>
      </c>
      <c r="AE13" s="174">
        <f>EIA_electricity_aeo2014!AG58*1000</f>
        <v>68719.280368581603</v>
      </c>
      <c r="AF13" s="174">
        <f>EIA_electricity_aeo2014!AH58*1000</f>
        <v>68983.341792696039</v>
      </c>
      <c r="AG13" s="174">
        <f>EIA_electricity_aeo2014!AI58*1000</f>
        <v>70009.496632128532</v>
      </c>
      <c r="AH13" s="184">
        <f>EIA_electricity_aeo2014!AJ58*1000</f>
        <v>70660.838472842894</v>
      </c>
      <c r="AI13" s="115">
        <f>X13/C13-1</f>
        <v>0.13385577281649974</v>
      </c>
      <c r="AJ13" s="165">
        <f>(1+AJ11)^21-1</f>
        <v>0.24007814276920247</v>
      </c>
      <c r="AK13" s="168">
        <f>(1+AK11)^21-1</f>
        <v>0.11389489977934208</v>
      </c>
      <c r="AL13" s="121"/>
    </row>
    <row r="14" spans="1:38" s="20" customFormat="1">
      <c r="A14" s="20" t="s">
        <v>131</v>
      </c>
      <c r="B14" s="33"/>
      <c r="C14" s="330">
        <f>EIA_electricity_aeo2014!E58 * 1000</f>
        <v>59958.000000000007</v>
      </c>
      <c r="D14" s="330">
        <f>IF(Inputs!$C$7="BAU",'Output -Jobs vs Yr'!D13,C14+($X$14-$C$14)/($X$11-$C$11) )</f>
        <v>64314.000000000007</v>
      </c>
      <c r="E14" s="330">
        <f>IF(Inputs!$C$7="BAU",'Output -Jobs vs Yr'!E13,D14+($X$14-$C$14)/($X$11-$C$11) )</f>
        <v>63140.544554195854</v>
      </c>
      <c r="F14" s="330">
        <f>IF(Inputs!$C$7="BAU",'Output -Jobs vs Yr'!F13,E14+($X$14-$C$14)/($X$11-$C$11) )</f>
        <v>61888.551296385172</v>
      </c>
      <c r="G14" s="330">
        <f>IF(Inputs!$C$7="BAU",'Output -Jobs vs Yr'!G13,F14+($X$14-$C$14)/($X$11-$C$11) )</f>
        <v>58165.443553990699</v>
      </c>
      <c r="H14" s="286">
        <f>EIA_electricity_aeo2014!J58*1000</f>
        <v>59189.965898523005</v>
      </c>
      <c r="I14" s="83">
        <f>IF(Inputs!$C$7="BAU",'Output -Jobs vs Yr'!I13,H14+($X$14-$C$14)/($X$11-$C$11) )</f>
        <v>60781.083812904719</v>
      </c>
      <c r="J14" s="83">
        <f>IF(Inputs!$C$7="BAU",'Output -Jobs vs Yr'!J13,I14+($X$14-$C$14)/($X$11-$C$11) )</f>
        <v>61066.717401996328</v>
      </c>
      <c r="K14" s="83">
        <f>IF(Inputs!$C$7="BAU",'Output -Jobs vs Yr'!K13,J14+($X$14-$C$14)/($X$11-$C$11) )</f>
        <v>62336.344629325758</v>
      </c>
      <c r="L14" s="83">
        <f>IF(Inputs!$C$7="BAU",'Output -Jobs vs Yr'!L13,K14+($X$14-$C$14)/($X$11-$C$11) )</f>
        <v>61401.642542502181</v>
      </c>
      <c r="M14" s="83">
        <f>IF(Inputs!$C$7="BAU",'Output -Jobs vs Yr'!M13,L14+($X$14-$C$14)/($X$11-$C$11) )</f>
        <v>62585.085905779037</v>
      </c>
      <c r="N14" s="177">
        <f>IF(Inputs!$C$7="BAU",'Output -Jobs vs Yr'!N13,M14+($X$14-$C$14)/($X$11-$C$11) )</f>
        <v>61379.896960496146</v>
      </c>
      <c r="O14" s="83">
        <f>IF(Inputs!$C$7="BAU",'Output -Jobs vs Yr'!O13,N14+($X$14-$C$14)/($X$11-$C$11) )</f>
        <v>62103.001041592011</v>
      </c>
      <c r="P14" s="83">
        <f>IF(Inputs!$C$7="BAU",'Output -Jobs vs Yr'!P13,O14+($X$14-$C$14)/($X$11-$C$11) )</f>
        <v>62521.111633738008</v>
      </c>
      <c r="Q14" s="83">
        <f>IF(Inputs!$C$7="BAU",'Output -Jobs vs Yr'!Q13,P14+($X$14-$C$14)/($X$11-$C$11) )</f>
        <v>63640.243361979519</v>
      </c>
      <c r="R14" s="83">
        <f>IF(Inputs!$C$7="BAU",'Output -Jobs vs Yr'!R13,Q14+($X$14-$C$14)/($X$11-$C$11) )</f>
        <v>64302.453604512593</v>
      </c>
      <c r="S14" s="83">
        <f>IF(Inputs!$C$7="BAU",'Output -Jobs vs Yr'!S13,R14+($X$14-$C$14)/($X$11-$C$11) )</f>
        <v>64634.301041274288</v>
      </c>
      <c r="T14" s="83">
        <f>IF(Inputs!$C$7="BAU",'Output -Jobs vs Yr'!T13,S14+($X$14-$C$14)/($X$11-$C$11) )</f>
        <v>65529.708973021414</v>
      </c>
      <c r="U14" s="83">
        <f>IF(Inputs!$C$7="BAU",'Output -Jobs vs Yr'!U13,T14+($X$14-$C$14)/($X$11-$C$11) )</f>
        <v>66362.653083784695</v>
      </c>
      <c r="V14" s="83">
        <f>IF(Inputs!$C$7="BAU",'Output -Jobs vs Yr'!V13,U14+($X$14-$C$14)/($X$11-$C$11) )</f>
        <v>66629.134339050332</v>
      </c>
      <c r="W14" s="83">
        <f>IF(Inputs!$C$7="BAU",'Output -Jobs vs Yr'!W13,V14+($X$14-$C$14)/($X$11-$C$11) )</f>
        <v>67374.25149798223</v>
      </c>
      <c r="X14" s="184">
        <f>IF(Inputs!$C$7="BAU",'Output -Jobs vs Yr'!X13,C14*(1+Inputs!C7) )</f>
        <v>67983.724426531699</v>
      </c>
      <c r="Y14" s="174">
        <f>IF(Inputs!$C$7="BAU",'Output -Jobs vs Yr'!Y13,D14*(1+Inputs!D7) )</f>
        <v>68228.401158799403</v>
      </c>
      <c r="Z14" s="174">
        <f>IF(Inputs!$C$7="BAU",'Output -Jobs vs Yr'!Z13,E14*(1+Inputs!E7) )</f>
        <v>68464.199148787928</v>
      </c>
      <c r="AA14" s="174">
        <f>IF(Inputs!$C$7="BAU",'Output -Jobs vs Yr'!AA13,F14*(1+Inputs!F7) )</f>
        <v>68665.061956113001</v>
      </c>
      <c r="AB14" s="174">
        <f>IF(Inputs!$C$7="BAU",'Output -Jobs vs Yr'!AB13,G14*(1+Inputs!G7) )</f>
        <v>68316.713176369638</v>
      </c>
      <c r="AC14" s="174">
        <f>IF(Inputs!$C$7="BAU",'Output -Jobs vs Yr'!AC13,H14*(1+Inputs!H7) )</f>
        <v>68701.673110463962</v>
      </c>
      <c r="AD14" s="174">
        <f>IF(Inputs!$C$7="BAU",'Output -Jobs vs Yr'!AD13,I14*(1+Inputs!L7) )</f>
        <v>68631.390164597513</v>
      </c>
      <c r="AE14" s="174">
        <f>IF(Inputs!$C$7="BAU",'Output -Jobs vs Yr'!AE13,J14*(1+Inputs!M7) )</f>
        <v>68719.280368581603</v>
      </c>
      <c r="AF14" s="174">
        <f>IF(Inputs!$C$7="BAU",'Output -Jobs vs Yr'!AF13,K14*(1+Inputs!N7) )</f>
        <v>68983.341792696039</v>
      </c>
      <c r="AG14" s="174">
        <f>IF(Inputs!$C$7="BAU",'Output -Jobs vs Yr'!AG13,L14*(1+Inputs!O7) )</f>
        <v>70009.496632128532</v>
      </c>
      <c r="AH14" s="184">
        <f>IF(Inputs!$C$7="BAU",'Output -Jobs vs Yr'!AH13,M14*(1+Inputs!P7) )</f>
        <v>70660.838472842894</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3.8527135661629804E-2</v>
      </c>
      <c r="D16" s="381">
        <f t="shared" si="1"/>
        <v>4.362697330979734E-2</v>
      </c>
      <c r="E16" s="381">
        <f t="shared" si="1"/>
        <v>5.4867271651278547E-2</v>
      </c>
      <c r="F16" s="381">
        <f t="shared" si="1"/>
        <v>6.1954577733034422E-2</v>
      </c>
      <c r="G16" s="381">
        <f t="shared" si="1"/>
        <v>6.6133200959920965E-2</v>
      </c>
      <c r="H16" s="381">
        <f t="shared" si="1"/>
        <v>5.5469829097116438E-2</v>
      </c>
      <c r="I16" s="381">
        <f t="shared" si="1"/>
        <v>6.3623476743124754E-2</v>
      </c>
      <c r="J16" s="381">
        <f t="shared" si="1"/>
        <v>7.1727809015612071E-2</v>
      </c>
      <c r="K16" s="381">
        <f t="shared" si="1"/>
        <v>8.1578481900105956E-2</v>
      </c>
      <c r="L16" s="381">
        <f t="shared" si="1"/>
        <v>9.2796130264859195E-2</v>
      </c>
      <c r="M16" s="381">
        <f t="shared" si="1"/>
        <v>0.10556656587300908</v>
      </c>
      <c r="N16" s="381">
        <f>Inputs!C11</f>
        <v>0.12</v>
      </c>
      <c r="O16" s="381">
        <f t="shared" ref="O16:W16" si="2">O95</f>
        <v>0.12109318512146457</v>
      </c>
      <c r="P16" s="381">
        <f t="shared" si="2"/>
        <v>0.12208043514421207</v>
      </c>
      <c r="Q16" s="381">
        <f t="shared" si="2"/>
        <v>0.12307354625617725</v>
      </c>
      <c r="R16" s="381">
        <f t="shared" si="2"/>
        <v>0.12407528385006902</v>
      </c>
      <c r="S16" s="381">
        <f t="shared" si="2"/>
        <v>0.12508561990095515</v>
      </c>
      <c r="T16" s="381">
        <f t="shared" si="2"/>
        <v>0.12610208813150578</v>
      </c>
      <c r="U16" s="381">
        <f t="shared" si="2"/>
        <v>0.12712647820801987</v>
      </c>
      <c r="V16" s="381">
        <f t="shared" si="2"/>
        <v>0.12816058558031818</v>
      </c>
      <c r="W16" s="381">
        <f t="shared" si="2"/>
        <v>0.12920107760129829</v>
      </c>
      <c r="X16" s="382">
        <f>Inputs!C12</f>
        <v>0.13</v>
      </c>
      <c r="Y16" s="383">
        <f>Y95</f>
        <v>0.13213750504438024</v>
      </c>
      <c r="Z16" s="383">
        <f t="shared" ref="Z16:AG16" si="3">Z95</f>
        <v>0.13405189324371758</v>
      </c>
      <c r="AA16" s="383">
        <f t="shared" si="3"/>
        <v>0.13599373011620594</v>
      </c>
      <c r="AB16" s="383">
        <f t="shared" si="3"/>
        <v>0.137965727667854</v>
      </c>
      <c r="AC16" s="383">
        <f t="shared" si="3"/>
        <v>0.139962625535623</v>
      </c>
      <c r="AD16" s="383">
        <f t="shared" si="3"/>
        <v>0.1419901849176054</v>
      </c>
      <c r="AE16" s="383">
        <f t="shared" si="3"/>
        <v>0.14404597752662607</v>
      </c>
      <c r="AF16" s="383">
        <f t="shared" si="3"/>
        <v>0.14613023266901354</v>
      </c>
      <c r="AG16" s="383">
        <f t="shared" si="3"/>
        <v>0.14824015092334408</v>
      </c>
      <c r="AH16" s="382">
        <f>Inputs!C13</f>
        <v>0.15</v>
      </c>
      <c r="AI16" s="384" t="s">
        <v>0</v>
      </c>
      <c r="AJ16" s="385"/>
      <c r="AK16" s="386"/>
      <c r="AL16" s="387"/>
    </row>
    <row r="17" spans="1:37" s="281" customFormat="1">
      <c r="A17" s="281" t="s">
        <v>115</v>
      </c>
      <c r="B17" s="282"/>
      <c r="C17" s="337"/>
      <c r="D17" s="332">
        <f>D16/C16-1</f>
        <v>0.1323700181855616</v>
      </c>
      <c r="E17" s="332">
        <f t="shared" ref="E17:M17" si="4">E16/D16-1</f>
        <v>0.25764561436942413</v>
      </c>
      <c r="F17" s="332">
        <f t="shared" si="4"/>
        <v>0.12917183356228934</v>
      </c>
      <c r="G17" s="332">
        <f t="shared" si="4"/>
        <v>6.7446561332278776E-2</v>
      </c>
      <c r="H17" s="284"/>
      <c r="I17" s="284">
        <f t="shared" si="4"/>
        <v>0.14699247823051564</v>
      </c>
      <c r="J17" s="284">
        <f t="shared" si="4"/>
        <v>0.12737958828009321</v>
      </c>
      <c r="K17" s="284">
        <f t="shared" si="4"/>
        <v>0.13733408310784756</v>
      </c>
      <c r="L17" s="284">
        <f t="shared" si="4"/>
        <v>0.13750744195619391</v>
      </c>
      <c r="M17" s="284">
        <f t="shared" si="4"/>
        <v>0.13761819131574171</v>
      </c>
      <c r="N17" s="284">
        <f>N16/M16-1</f>
        <v>0.13672353559699535</v>
      </c>
      <c r="O17" s="284">
        <f>O16/N16-1</f>
        <v>9.1098760122048095E-3</v>
      </c>
      <c r="P17" s="284">
        <f t="shared" ref="P17:X17" si="5">P16/O16-1</f>
        <v>8.1528124126657442E-3</v>
      </c>
      <c r="Q17" s="284">
        <f t="shared" si="5"/>
        <v>8.1348916457582021E-3</v>
      </c>
      <c r="R17" s="284">
        <f t="shared" si="5"/>
        <v>8.1393412667791765E-3</v>
      </c>
      <c r="S17" s="284">
        <f t="shared" si="5"/>
        <v>8.1429275802182843E-3</v>
      </c>
      <c r="T17" s="284">
        <f t="shared" si="5"/>
        <v>8.1261797427671922E-3</v>
      </c>
      <c r="U17" s="284">
        <f t="shared" si="5"/>
        <v>8.1234981251523397E-3</v>
      </c>
      <c r="V17" s="284">
        <f t="shared" si="5"/>
        <v>8.1344766792499357E-3</v>
      </c>
      <c r="W17" s="284">
        <f t="shared" si="5"/>
        <v>8.1186584492314307E-3</v>
      </c>
      <c r="X17" s="283">
        <f t="shared" si="5"/>
        <v>6.1835583226876878E-3</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0.21153140531705525</v>
      </c>
      <c r="D18" s="332">
        <f t="shared" ref="D18:G18" si="6">($N$18-$C$18)/($N$11-$C$11)+C18</f>
        <v>0.19697717806131054</v>
      </c>
      <c r="E18" s="332">
        <f t="shared" si="6"/>
        <v>0.18242295080556584</v>
      </c>
      <c r="F18" s="332">
        <f t="shared" si="6"/>
        <v>0.16786872354982113</v>
      </c>
      <c r="G18" s="332">
        <f t="shared" si="6"/>
        <v>0.15331449629407642</v>
      </c>
      <c r="H18" s="284">
        <f>H32/H14</f>
        <v>0.17032716013528859</v>
      </c>
      <c r="I18" s="172">
        <f>($N$18-$H$18)/($N$11-$H$11)+H18</f>
        <v>0.15051178436338442</v>
      </c>
      <c r="J18" s="172">
        <f t="shared" ref="J18:M18" si="7">($N$18-$H$18)/($N$11-$H$11)+I18</f>
        <v>0.13069640859148024</v>
      </c>
      <c r="K18" s="172">
        <f t="shared" si="7"/>
        <v>0.11088103281957606</v>
      </c>
      <c r="L18" s="172">
        <f t="shared" si="7"/>
        <v>9.1065657047671889E-2</v>
      </c>
      <c r="M18" s="172">
        <f t="shared" si="7"/>
        <v>7.1250281275767713E-2</v>
      </c>
      <c r="N18" s="180">
        <f>Inputs!C36</f>
        <v>5.1434905503863544E-2</v>
      </c>
      <c r="O18" s="91">
        <f t="shared" ref="O18:W18" si="8">($X$18-$N$18)/($X$11-$N$11)+N18</f>
        <v>5.1041981044656876E-2</v>
      </c>
      <c r="P18" s="91">
        <f t="shared" si="8"/>
        <v>5.0649056585450207E-2</v>
      </c>
      <c r="Q18" s="91">
        <f t="shared" si="8"/>
        <v>5.0256132126243538E-2</v>
      </c>
      <c r="R18" s="91">
        <f t="shared" si="8"/>
        <v>4.986320766703687E-2</v>
      </c>
      <c r="S18" s="22">
        <f t="shared" si="8"/>
        <v>4.9470283207830201E-2</v>
      </c>
      <c r="T18" s="91">
        <f t="shared" si="8"/>
        <v>4.9077358748623533E-2</v>
      </c>
      <c r="U18" s="91">
        <f t="shared" si="8"/>
        <v>4.8684434289416864E-2</v>
      </c>
      <c r="V18" s="91">
        <f t="shared" si="8"/>
        <v>4.8291509830210196E-2</v>
      </c>
      <c r="W18" s="91">
        <f t="shared" si="8"/>
        <v>4.7898585371003527E-2</v>
      </c>
      <c r="X18" s="185">
        <f>Inputs!F36</f>
        <v>4.7505660911796879E-2</v>
      </c>
      <c r="Y18" s="172">
        <f>($AH$18-$X$18)/($AH$11-$X$11)+X18</f>
        <v>4.7336754130475528E-2</v>
      </c>
      <c r="Z18" s="172">
        <f t="shared" ref="Z18:AG18" si="9">($AH$18-$X$18)/($AH$11-$X$11)+Y18</f>
        <v>4.7167847349154177E-2</v>
      </c>
      <c r="AA18" s="172">
        <f t="shared" si="9"/>
        <v>4.6998940567832825E-2</v>
      </c>
      <c r="AB18" s="172">
        <f t="shared" si="9"/>
        <v>4.6830033786511474E-2</v>
      </c>
      <c r="AC18" s="172">
        <f t="shared" si="9"/>
        <v>4.6661127005190123E-2</v>
      </c>
      <c r="AD18" s="172">
        <f t="shared" si="9"/>
        <v>4.6492220223868772E-2</v>
      </c>
      <c r="AE18" s="172">
        <f t="shared" si="9"/>
        <v>4.632331344254742E-2</v>
      </c>
      <c r="AF18" s="172">
        <f t="shared" si="9"/>
        <v>4.6154406661226069E-2</v>
      </c>
      <c r="AG18" s="172">
        <f t="shared" si="9"/>
        <v>4.5985499879904718E-2</v>
      </c>
      <c r="AH18" s="185">
        <f>Inputs!H36</f>
        <v>4.5816593098583373E-2</v>
      </c>
      <c r="AK18"/>
    </row>
    <row r="19" spans="1:37" s="281" customFormat="1">
      <c r="A19" s="281" t="s">
        <v>114</v>
      </c>
      <c r="B19" s="285"/>
      <c r="C19" s="330">
        <f t="shared" ref="C19:AH19" si="10">C16*C14</f>
        <v>2310.0100000000002</v>
      </c>
      <c r="D19" s="330">
        <f t="shared" si="10"/>
        <v>2805.8251614463065</v>
      </c>
      <c r="E19" s="330">
        <f t="shared" si="10"/>
        <v>3464.3494102647201</v>
      </c>
      <c r="F19" s="330">
        <f t="shared" si="10"/>
        <v>3834.2790620767832</v>
      </c>
      <c r="G19" s="330">
        <f t="shared" si="10"/>
        <v>3846.6669674790064</v>
      </c>
      <c r="H19" s="286">
        <f t="shared" si="10"/>
        <v>3283.2572926552211</v>
      </c>
      <c r="I19" s="286">
        <f t="shared" si="10"/>
        <v>3867.1038723922597</v>
      </c>
      <c r="J19" s="286">
        <f t="shared" si="10"/>
        <v>4380.1818430207468</v>
      </c>
      <c r="K19" s="286">
        <f t="shared" si="10"/>
        <v>5085.3043620622184</v>
      </c>
      <c r="L19" s="286">
        <f t="shared" si="10"/>
        <v>5697.8348198503527</v>
      </c>
      <c r="M19" s="286">
        <f t="shared" si="10"/>
        <v>6606.8925939403553</v>
      </c>
      <c r="N19" s="287">
        <f t="shared" si="10"/>
        <v>7365.5876352595369</v>
      </c>
      <c r="O19" s="286">
        <f t="shared" si="10"/>
        <v>7520.2502017280085</v>
      </c>
      <c r="P19" s="286">
        <f t="shared" si="10"/>
        <v>7632.6045139465959</v>
      </c>
      <c r="Q19" s="286">
        <f t="shared" si="10"/>
        <v>7832.4304351649635</v>
      </c>
      <c r="R19" s="286">
        <f t="shared" si="10"/>
        <v>7978.3451832357941</v>
      </c>
      <c r="S19" s="286">
        <f t="shared" si="10"/>
        <v>8084.8216126127454</v>
      </c>
      <c r="T19" s="286">
        <f t="shared" si="10"/>
        <v>8263.4331361478708</v>
      </c>
      <c r="U19" s="286">
        <f t="shared" si="10"/>
        <v>8436.4503710821373</v>
      </c>
      <c r="V19" s="286">
        <f t="shared" si="10"/>
        <v>8539.2288736023766</v>
      </c>
      <c r="W19" s="286">
        <f t="shared" si="10"/>
        <v>8704.82589612019</v>
      </c>
      <c r="X19" s="287">
        <f>Inputs!C12*'Output -Jobs vs Yr'!X14</f>
        <v>8837.8841754491204</v>
      </c>
      <c r="Y19" s="286">
        <f t="shared" si="10"/>
        <v>9015.5307022908546</v>
      </c>
      <c r="Z19" s="286">
        <f t="shared" si="10"/>
        <v>9177.7555153099383</v>
      </c>
      <c r="AA19" s="286">
        <f t="shared" si="10"/>
        <v>9338.0179040721905</v>
      </c>
      <c r="AB19" s="286">
        <f t="shared" si="10"/>
        <v>9425.3650452539059</v>
      </c>
      <c r="AC19" s="286">
        <f t="shared" si="10"/>
        <v>9615.6665472306468</v>
      </c>
      <c r="AD19" s="286">
        <f t="shared" si="10"/>
        <v>9744.9837806235246</v>
      </c>
      <c r="AE19" s="286">
        <f t="shared" si="10"/>
        <v>9898.7359156186212</v>
      </c>
      <c r="AF19" s="286">
        <f t="shared" si="10"/>
        <v>10080.551786452757</v>
      </c>
      <c r="AG19" s="286">
        <f t="shared" si="10"/>
        <v>10378.218346814083</v>
      </c>
      <c r="AH19" s="287">
        <f t="shared" si="10"/>
        <v>10599.125770926434</v>
      </c>
    </row>
    <row r="20" spans="1:37" s="20" customFormat="1">
      <c r="A20" s="20" t="s">
        <v>211</v>
      </c>
      <c r="B20" s="33"/>
      <c r="C20" s="330">
        <f>'Output - Jobs vs Yr (BAU)'!C18</f>
        <v>2310.0100000000002</v>
      </c>
      <c r="D20" s="330">
        <f>'Output - Jobs vs Yr (BAU)'!D18</f>
        <v>2436.0100000000002</v>
      </c>
      <c r="E20" s="330">
        <f>'Output - Jobs vs Yr (BAU)'!E18</f>
        <v>3059.9254420025263</v>
      </c>
      <c r="F20" s="330">
        <f>'Output - Jobs vs Yr (BAU)'!F18</f>
        <v>3432.5005509452449</v>
      </c>
      <c r="G20" s="330">
        <f>'Output - Jobs vs Yr (BAU)'!G18</f>
        <v>3050.6570571448574</v>
      </c>
      <c r="H20" s="286">
        <f>'Output - Jobs vs Yr (BAU)'!H18</f>
        <v>3282.2572926552211</v>
      </c>
      <c r="I20" s="83">
        <f>'Output - Jobs vs Yr (BAU)'!I18</f>
        <v>3573.1272960293277</v>
      </c>
      <c r="J20" s="83">
        <f>'Output - Jobs vs Yr (BAU)'!J18</f>
        <v>3841.4878909978152</v>
      </c>
      <c r="K20" s="83">
        <f>'Output - Jobs vs Yr (BAU)'!K18</f>
        <v>3890.9510196717874</v>
      </c>
      <c r="L20" s="83">
        <f>'Output - Jobs vs Yr (BAU)'!L18</f>
        <v>4009.7304816359165</v>
      </c>
      <c r="M20" s="83">
        <f>'Output - Jobs vs Yr (BAU)'!M18</f>
        <v>4086.9462404830601</v>
      </c>
      <c r="N20" s="177">
        <f>'Output - Jobs vs Yr (BAU)'!N18</f>
        <v>4208.3825441814988</v>
      </c>
      <c r="O20" s="83">
        <f>'Output - Jobs vs Yr (BAU)'!O18</f>
        <v>4287.2519537375592</v>
      </c>
      <c r="P20" s="83">
        <f>'Output - Jobs vs Yr (BAU)'!P18</f>
        <v>4394.6566920884143</v>
      </c>
      <c r="Q20" s="83">
        <f>'Output - Jobs vs Yr (BAU)'!Q18</f>
        <v>4456.7227718719669</v>
      </c>
      <c r="R20" s="83">
        <f>'Output - Jobs vs Yr (BAU)'!R18</f>
        <v>4587.6343859598028</v>
      </c>
      <c r="S20" s="83">
        <f>'Output - Jobs vs Yr (BAU)'!S18</f>
        <v>4652.2233029897543</v>
      </c>
      <c r="T20" s="83">
        <f>'Output - Jobs vs Yr (BAU)'!T18</f>
        <v>4714.0945251895464</v>
      </c>
      <c r="U20" s="83">
        <f>'Output - Jobs vs Yr (BAU)'!U18</f>
        <v>4775.1078348831124</v>
      </c>
      <c r="V20" s="83">
        <f>'Output - Jobs vs Yr (BAU)'!V18</f>
        <v>4823.9551800801291</v>
      </c>
      <c r="W20" s="83">
        <f>'Output - Jobs vs Yr (BAU)'!W18</f>
        <v>4878.9787519723486</v>
      </c>
      <c r="X20" s="184">
        <f>'Output - Jobs vs Yr (BAU)'!X18</f>
        <v>4945.8224877450266</v>
      </c>
      <c r="Y20" s="174">
        <f>'Output - Jobs vs Yr (BAU)'!Y18</f>
        <v>4997.4424993372786</v>
      </c>
      <c r="Z20" s="174">
        <f>'Output - Jobs vs Yr (BAU)'!Z18</f>
        <v>5046.4701511706307</v>
      </c>
      <c r="AA20" s="174">
        <f>'Output - Jobs vs Yr (BAU)'!AA18</f>
        <v>5112.1419734077708</v>
      </c>
      <c r="AB20" s="174">
        <f>'Output - Jobs vs Yr (BAU)'!AB18</f>
        <v>5181.2639724805404</v>
      </c>
      <c r="AC20" s="174">
        <f>'Output - Jobs vs Yr (BAU)'!AC18</f>
        <v>5244.5486538017376</v>
      </c>
      <c r="AD20" s="174">
        <f>'Output - Jobs vs Yr (BAU)'!AD18</f>
        <v>5309.4983053185897</v>
      </c>
      <c r="AE20" s="174">
        <f>'Output - Jobs vs Yr (BAU)'!AE18</f>
        <v>5368.859320650603</v>
      </c>
      <c r="AF20" s="174">
        <f>'Output - Jobs vs Yr (BAU)'!AF18</f>
        <v>5429.1976394332987</v>
      </c>
      <c r="AG20" s="174">
        <f>'Output - Jobs vs Yr (BAU)'!AG18</f>
        <v>5497.868077384499</v>
      </c>
      <c r="AH20" s="184">
        <f>'Output - Jobs vs Yr (BAU)'!AH18</f>
        <v>5558.0152731808721</v>
      </c>
    </row>
    <row r="21" spans="1:37" s="20" customFormat="1">
      <c r="A21" s="20" t="s">
        <v>116</v>
      </c>
      <c r="B21" s="33"/>
      <c r="C21" s="330">
        <f t="shared" ref="C21:AH21" si="11">MAX(C19:C20)</f>
        <v>2310.0100000000002</v>
      </c>
      <c r="D21" s="330">
        <f t="shared" si="11"/>
        <v>2805.8251614463065</v>
      </c>
      <c r="E21" s="330">
        <f t="shared" si="11"/>
        <v>3464.3494102647201</v>
      </c>
      <c r="F21" s="330">
        <f t="shared" si="11"/>
        <v>3834.2790620767832</v>
      </c>
      <c r="G21" s="330">
        <f t="shared" si="11"/>
        <v>3846.6669674790064</v>
      </c>
      <c r="H21" s="286">
        <f t="shared" si="11"/>
        <v>3283.2572926552211</v>
      </c>
      <c r="I21" s="83">
        <f t="shared" si="11"/>
        <v>3867.1038723922597</v>
      </c>
      <c r="J21" s="83">
        <f t="shared" si="11"/>
        <v>4380.1818430207468</v>
      </c>
      <c r="K21" s="83">
        <f t="shared" si="11"/>
        <v>5085.3043620622184</v>
      </c>
      <c r="L21" s="83">
        <f t="shared" si="11"/>
        <v>5697.8348198503527</v>
      </c>
      <c r="M21" s="83">
        <f t="shared" si="11"/>
        <v>6606.8925939403553</v>
      </c>
      <c r="N21" s="177">
        <f t="shared" si="11"/>
        <v>7365.5876352595369</v>
      </c>
      <c r="O21" s="83">
        <f t="shared" si="11"/>
        <v>7520.2502017280085</v>
      </c>
      <c r="P21" s="83">
        <f t="shared" si="11"/>
        <v>7632.6045139465959</v>
      </c>
      <c r="Q21" s="83">
        <f t="shared" si="11"/>
        <v>7832.4304351649635</v>
      </c>
      <c r="R21" s="83">
        <f t="shared" si="11"/>
        <v>7978.3451832357941</v>
      </c>
      <c r="S21" s="83">
        <f t="shared" si="11"/>
        <v>8084.8216126127454</v>
      </c>
      <c r="T21" s="83">
        <f t="shared" si="11"/>
        <v>8263.4331361478708</v>
      </c>
      <c r="U21" s="83">
        <f t="shared" si="11"/>
        <v>8436.4503710821373</v>
      </c>
      <c r="V21" s="83">
        <f t="shared" si="11"/>
        <v>8539.2288736023766</v>
      </c>
      <c r="W21" s="83">
        <f t="shared" si="11"/>
        <v>8704.82589612019</v>
      </c>
      <c r="X21" s="184">
        <f t="shared" si="11"/>
        <v>8837.8841754491204</v>
      </c>
      <c r="Y21" s="174">
        <f t="shared" si="11"/>
        <v>9015.5307022908546</v>
      </c>
      <c r="Z21" s="174">
        <f t="shared" si="11"/>
        <v>9177.7555153099383</v>
      </c>
      <c r="AA21" s="174">
        <f t="shared" si="11"/>
        <v>9338.0179040721905</v>
      </c>
      <c r="AB21" s="174">
        <f t="shared" si="11"/>
        <v>9425.3650452539059</v>
      </c>
      <c r="AC21" s="174">
        <f t="shared" si="11"/>
        <v>9615.6665472306468</v>
      </c>
      <c r="AD21" s="174">
        <f t="shared" si="11"/>
        <v>9744.9837806235246</v>
      </c>
      <c r="AE21" s="174">
        <f t="shared" si="11"/>
        <v>9898.7359156186212</v>
      </c>
      <c r="AF21" s="174">
        <f t="shared" si="11"/>
        <v>10080.551786452757</v>
      </c>
      <c r="AG21" s="174">
        <f t="shared" si="11"/>
        <v>10378.218346814083</v>
      </c>
      <c r="AH21" s="184">
        <f t="shared" si="11"/>
        <v>10599.125770926434</v>
      </c>
      <c r="AI21" s="99"/>
    </row>
    <row r="22" spans="1:37" s="20" customFormat="1">
      <c r="A22" s="20" t="s">
        <v>379</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538</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332">
        <f>C31/C14</f>
        <v>2.3249441275559557E-2</v>
      </c>
      <c r="D26" s="332">
        <f t="shared" ref="D26:G26" si="21">C26+($N$26-$C$26)/($N$11-$C$11)</f>
        <v>2.429248291510477E-2</v>
      </c>
      <c r="E26" s="332">
        <f t="shared" si="21"/>
        <v>2.5335524554649984E-2</v>
      </c>
      <c r="F26" s="332">
        <f t="shared" si="21"/>
        <v>2.6378566194195197E-2</v>
      </c>
      <c r="G26" s="332">
        <f t="shared" si="21"/>
        <v>2.7421607833740411E-2</v>
      </c>
      <c r="H26" s="284">
        <f>H31/H14</f>
        <v>3.3898312518178354E-2</v>
      </c>
      <c r="I26" s="91">
        <f>H26+($N$26-$H$26)/($N$11-$H$11)</f>
        <v>3.4035743650241444E-2</v>
      </c>
      <c r="J26" s="172">
        <f t="shared" ref="J26:M26" si="22">I26+($N$26-$H$26)/($N$11-$H$11)</f>
        <v>3.4173174782304534E-2</v>
      </c>
      <c r="K26" s="172">
        <f t="shared" si="22"/>
        <v>3.4310605914367624E-2</v>
      </c>
      <c r="L26" s="172">
        <f t="shared" si="22"/>
        <v>3.4448037046430714E-2</v>
      </c>
      <c r="M26" s="172">
        <f t="shared" si="22"/>
        <v>3.4585468178493804E-2</v>
      </c>
      <c r="N26" s="180">
        <f>Inputs!C35</f>
        <v>3.4722899310556901E-2</v>
      </c>
      <c r="O26" s="91">
        <f t="shared" ref="O26:W26" si="23">N26+($X$26-$N$26)/($X$11-$N$11)</f>
        <v>3.4457642160766605E-2</v>
      </c>
      <c r="P26" s="91">
        <f t="shared" si="23"/>
        <v>3.4192385010976309E-2</v>
      </c>
      <c r="Q26" s="91">
        <f t="shared" si="23"/>
        <v>3.3927127861186013E-2</v>
      </c>
      <c r="R26" s="91">
        <f t="shared" si="23"/>
        <v>3.3661870711395717E-2</v>
      </c>
      <c r="S26" s="22">
        <f t="shared" si="23"/>
        <v>3.339661356160542E-2</v>
      </c>
      <c r="T26" s="91">
        <f t="shared" si="23"/>
        <v>3.3131356411815124E-2</v>
      </c>
      <c r="U26" s="91">
        <f t="shared" si="23"/>
        <v>3.2866099262024828E-2</v>
      </c>
      <c r="V26" s="91">
        <f t="shared" si="23"/>
        <v>3.2600842112234532E-2</v>
      </c>
      <c r="W26" s="91">
        <f t="shared" si="23"/>
        <v>3.2335584962444236E-2</v>
      </c>
      <c r="X26" s="185">
        <f>Inputs!F35</f>
        <v>3.2070327812653933E-2</v>
      </c>
      <c r="Y26" s="172">
        <f>X26+($AH$26-$X$26)/($AH$11-$X$11)</f>
        <v>3.195630148941609E-2</v>
      </c>
      <c r="Z26" s="172">
        <f t="shared" ref="Z26:AG26" si="24">Y26+($AH$26-$X$26)/($AH$11-$X$11)</f>
        <v>3.1842275166178248E-2</v>
      </c>
      <c r="AA26" s="172">
        <f t="shared" si="24"/>
        <v>3.1728248842940406E-2</v>
      </c>
      <c r="AB26" s="172">
        <f t="shared" si="24"/>
        <v>3.1614222519702563E-2</v>
      </c>
      <c r="AC26" s="172">
        <f t="shared" si="24"/>
        <v>3.1500196196464721E-2</v>
      </c>
      <c r="AD26" s="172">
        <f t="shared" si="24"/>
        <v>3.1386169873226878E-2</v>
      </c>
      <c r="AE26" s="172">
        <f t="shared" si="24"/>
        <v>3.1272143549989036E-2</v>
      </c>
      <c r="AF26" s="172">
        <f t="shared" si="24"/>
        <v>3.1158117226751193E-2</v>
      </c>
      <c r="AG26" s="172">
        <f t="shared" si="24"/>
        <v>3.1044090903513351E-2</v>
      </c>
      <c r="AH26" s="185">
        <f>Inputs!H35</f>
        <v>3.0930064580275491E-2</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8.2866896769435622E-2</v>
      </c>
      <c r="T27" s="13"/>
      <c r="U27" s="13"/>
      <c r="V27" s="13"/>
      <c r="W27" s="13"/>
      <c r="X27" s="176"/>
      <c r="Y27"/>
      <c r="Z27"/>
      <c r="AA27"/>
      <c r="AB27"/>
      <c r="AC27"/>
      <c r="AD27"/>
      <c r="AE27"/>
      <c r="AF27"/>
      <c r="AG27"/>
      <c r="AH27" s="280"/>
      <c r="AI27" s="24"/>
    </row>
    <row r="28" spans="1:37" s="1" customFormat="1">
      <c r="A28" s="1" t="s">
        <v>378</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377</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1393.99</v>
      </c>
      <c r="D31" s="330">
        <f t="shared" ref="D31:AH31" si="27">D26*D14</f>
        <v>1562.3467462020483</v>
      </c>
      <c r="E31" s="330">
        <f t="shared" si="27"/>
        <v>1599.6988169468004</v>
      </c>
      <c r="F31" s="330">
        <f t="shared" si="27"/>
        <v>1632.5312470345414</v>
      </c>
      <c r="G31" s="330">
        <f t="shared" si="27"/>
        <v>1594.989982613097</v>
      </c>
      <c r="H31" s="286">
        <f>'Output - Jobs vs Yr (BAU)'!H7</f>
        <v>2006.4399619684523</v>
      </c>
      <c r="I31" s="174">
        <f t="shared" si="27"/>
        <v>2068.7293874398647</v>
      </c>
      <c r="J31" s="174">
        <f t="shared" si="27"/>
        <v>2086.8436071600186</v>
      </c>
      <c r="K31" s="174">
        <f t="shared" si="27"/>
        <v>2138.797754719003</v>
      </c>
      <c r="L31" s="174">
        <f t="shared" si="27"/>
        <v>2115.1660570158115</v>
      </c>
      <c r="M31" s="174">
        <f t="shared" si="27"/>
        <v>2164.5344970426218</v>
      </c>
      <c r="N31" s="184">
        <f t="shared" si="27"/>
        <v>2131.2879818516653</v>
      </c>
      <c r="O31" s="174">
        <f t="shared" si="27"/>
        <v>2139.9229870008935</v>
      </c>
      <c r="P31" s="174">
        <f t="shared" si="27"/>
        <v>2137.7459202949999</v>
      </c>
      <c r="Q31" s="174">
        <f t="shared" si="27"/>
        <v>2159.1306736588735</v>
      </c>
      <c r="R31" s="174">
        <f t="shared" si="27"/>
        <v>2164.5408796606243</v>
      </c>
      <c r="S31" s="174">
        <f t="shared" si="27"/>
        <v>2158.5667746999084</v>
      </c>
      <c r="T31" s="174">
        <f t="shared" si="27"/>
        <v>2171.0881435476922</v>
      </c>
      <c r="U31" s="174">
        <f t="shared" si="27"/>
        <v>2181.0815435429859</v>
      </c>
      <c r="V31" s="174">
        <f t="shared" si="27"/>
        <v>2172.165888662244</v>
      </c>
      <c r="W31" s="174">
        <f t="shared" si="27"/>
        <v>2178.5858335940902</v>
      </c>
      <c r="X31" s="184">
        <f t="shared" si="27"/>
        <v>2180.260328284</v>
      </c>
      <c r="Y31" s="174">
        <f t="shared" si="27"/>
        <v>2180.3273575714197</v>
      </c>
      <c r="Z31" s="174">
        <f t="shared" si="27"/>
        <v>2180.0558683277318</v>
      </c>
      <c r="AA31" s="174">
        <f t="shared" si="27"/>
        <v>2178.6221725594737</v>
      </c>
      <c r="AB31" s="174">
        <f t="shared" si="27"/>
        <v>2159.779772172446</v>
      </c>
      <c r="AC31" s="174">
        <f t="shared" si="27"/>
        <v>2164.1161820049992</v>
      </c>
      <c r="AD31" s="174">
        <f t="shared" si="27"/>
        <v>2154.0764703417699</v>
      </c>
      <c r="AE31" s="174">
        <f t="shared" si="27"/>
        <v>2148.9992003382272</v>
      </c>
      <c r="AF31" s="174">
        <f t="shared" si="27"/>
        <v>2149.3910502698682</v>
      </c>
      <c r="AG31" s="174">
        <f t="shared" si="27"/>
        <v>2173.3811775570098</v>
      </c>
      <c r="AH31" s="184">
        <f t="shared" si="27"/>
        <v>2185.5442972614455</v>
      </c>
      <c r="AI31" s="127"/>
    </row>
    <row r="32" spans="1:37">
      <c r="A32" s="9" t="s">
        <v>59</v>
      </c>
      <c r="B32" s="35">
        <v>0</v>
      </c>
      <c r="C32" s="330">
        <f>EIA_electricity_aeo2014!E52*1000</f>
        <v>12683</v>
      </c>
      <c r="D32" s="330">
        <f t="shared" ref="D32:AH32" si="28">D18*D14</f>
        <v>12668.390229835128</v>
      </c>
      <c r="E32" s="330">
        <f t="shared" si="28"/>
        <v>11518.284453046708</v>
      </c>
      <c r="F32" s="330">
        <f t="shared" si="28"/>
        <v>10389.152108471806</v>
      </c>
      <c r="G32" s="330">
        <f t="shared" si="28"/>
        <v>8917.6056802016192</v>
      </c>
      <c r="H32" s="286">
        <f>EIA_electricity_aeo2014!J52*1000</f>
        <v>10081.658799999999</v>
      </c>
      <c r="I32" s="174">
        <f t="shared" si="28"/>
        <v>9148.2693802207104</v>
      </c>
      <c r="J32" s="174">
        <f t="shared" si="28"/>
        <v>7981.2006489117684</v>
      </c>
      <c r="K32" s="174">
        <f t="shared" si="28"/>
        <v>6911.9182746966735</v>
      </c>
      <c r="L32" s="174">
        <f t="shared" si="28"/>
        <v>5591.580921939244</v>
      </c>
      <c r="M32" s="174">
        <f t="shared" si="28"/>
        <v>4459.2049744548422</v>
      </c>
      <c r="N32" s="184">
        <f t="shared" si="28"/>
        <v>3157.0692000000004</v>
      </c>
      <c r="O32" s="174">
        <f t="shared" si="28"/>
        <v>3169.8602019812456</v>
      </c>
      <c r="P32" s="174">
        <f t="shared" si="28"/>
        <v>3166.6353209224458</v>
      </c>
      <c r="Q32" s="174">
        <f t="shared" si="28"/>
        <v>3198.3124789459362</v>
      </c>
      <c r="R32" s="174">
        <f t="shared" si="28"/>
        <v>3206.3265975818149</v>
      </c>
      <c r="S32" s="174">
        <f t="shared" si="28"/>
        <v>3197.4771774519936</v>
      </c>
      <c r="T32" s="174">
        <f t="shared" si="28"/>
        <v>3216.0250359618667</v>
      </c>
      <c r="U32" s="174">
        <f t="shared" si="28"/>
        <v>3230.8282233288833</v>
      </c>
      <c r="V32" s="174">
        <f t="shared" si="28"/>
        <v>3217.6214959126446</v>
      </c>
      <c r="W32" s="174">
        <f t="shared" si="28"/>
        <v>3227.131337183564</v>
      </c>
      <c r="X32" s="184">
        <f t="shared" si="28"/>
        <v>3229.6117601278575</v>
      </c>
      <c r="Y32" s="174">
        <f t="shared" si="28"/>
        <v>3229.711050369539</v>
      </c>
      <c r="Z32" s="174">
        <f t="shared" si="28"/>
        <v>3229.3088943321204</v>
      </c>
      <c r="AA32" s="174">
        <f t="shared" si="28"/>
        <v>3227.1851659619138</v>
      </c>
      <c r="AB32" s="174">
        <f t="shared" si="28"/>
        <v>3199.273986232804</v>
      </c>
      <c r="AC32" s="174">
        <f t="shared" si="28"/>
        <v>3205.6974944764142</v>
      </c>
      <c r="AD32" s="174">
        <f t="shared" si="28"/>
        <v>3190.8257058027289</v>
      </c>
      <c r="AE32" s="174">
        <f t="shared" si="28"/>
        <v>3183.3047640601012</v>
      </c>
      <c r="AF32" s="174">
        <f t="shared" si="28"/>
        <v>3183.8852099504447</v>
      </c>
      <c r="AG32" s="174">
        <f t="shared" si="28"/>
        <v>3219.4216989689362</v>
      </c>
      <c r="AH32" s="184">
        <f t="shared" si="28"/>
        <v>3237.4388843149682</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769</v>
      </c>
      <c r="D34" s="330">
        <f>MAX(D58*D$14,'Output - Jobs vs Yr (BAU)'!D10)</f>
        <v>940.79626342530958</v>
      </c>
      <c r="E34" s="330">
        <f>MAX(E58*E$14,'Output - Jobs vs Yr (BAU)'!E10)</f>
        <v>1212.038169220687</v>
      </c>
      <c r="F34" s="330">
        <f>MAX(F58*F$14,'Output - Jobs vs Yr (BAU)'!F10)</f>
        <v>1343.0867934257894</v>
      </c>
      <c r="G34" s="330">
        <f>MAX(G58*G$14,'Output - Jobs vs Yr (BAU)'!G10)</f>
        <v>1417.6158264419187</v>
      </c>
      <c r="H34" s="286">
        <f>'Output - Jobs vs Yr (BAU)'!H10</f>
        <v>1607.7392787482495</v>
      </c>
      <c r="I34" s="286">
        <f>MAX(I58*I$14,'Output - Jobs vs Yr (BAU)'!I10)</f>
        <v>1882.9848804262213</v>
      </c>
      <c r="J34" s="286">
        <f>MAX(J58*J$14,'Output - Jobs vs Yr (BAU)'!J10)</f>
        <v>2157.7137488925546</v>
      </c>
      <c r="K34" s="286">
        <f>MAX(K58*K$14,'Output - Jobs vs Yr (BAU)'!K10)</f>
        <v>2512.1261589290662</v>
      </c>
      <c r="L34" s="286">
        <f>MAX(L58*L$14,'Output - Jobs vs Yr (BAU)'!L10)</f>
        <v>2822.22063890758</v>
      </c>
      <c r="M34" s="286">
        <f>MAX(M58*M$14,'Output - Jobs vs Yr (BAU)'!M10)</f>
        <v>3280.8976898338128</v>
      </c>
      <c r="N34" s="287">
        <f>MAX(Inputs!$E17*N$21,'Output - Jobs vs Yr (BAU)'!N10)</f>
        <v>3669.9390417401414</v>
      </c>
      <c r="O34" s="286">
        <f>MAX(O58*O$14,'Output - Jobs vs Yr (BAU)'!O10)</f>
        <v>3743.0143624474599</v>
      </c>
      <c r="P34" s="286">
        <f>MAX(P58*P$14,'Output - Jobs vs Yr (BAU)'!P10)</f>
        <v>3798.497177684199</v>
      </c>
      <c r="Q34" s="286">
        <f>MAX(Q58*Q$14,'Output - Jobs vs Yr (BAU)'!Q10)</f>
        <v>3897.5631377844102</v>
      </c>
      <c r="R34" s="286">
        <f>MAX(R58*R$14,'Output - Jobs vs Yr (BAU)'!R10)</f>
        <v>3969.7675996691878</v>
      </c>
      <c r="S34" s="286">
        <f>MAX(S58*S$14,'Output - Jobs vs Yr (BAU)'!S10)</f>
        <v>4022.3217318474253</v>
      </c>
      <c r="T34" s="286">
        <f>MAX(T58*T$14,'Output - Jobs vs Yr (BAU)'!T10)</f>
        <v>4110.8175174876887</v>
      </c>
      <c r="U34" s="286">
        <f>MAX(U58*U$14,'Output - Jobs vs Yr (BAU)'!U10)</f>
        <v>4196.5259222476034</v>
      </c>
      <c r="V34" s="286">
        <f>MAX(V58*V$14,'Output - Jobs vs Yr (BAU)'!V10)</f>
        <v>4247.2375447963332</v>
      </c>
      <c r="W34" s="286">
        <f>MAX(W58*W$14,'Output - Jobs vs Yr (BAU)'!W10)</f>
        <v>4329.248793457693</v>
      </c>
      <c r="X34" s="287">
        <f>Inputs!F17*'Output -Jobs vs Yr'!$X$14</f>
        <v>4403.5177894825547</v>
      </c>
      <c r="Y34" s="286">
        <f>MAX(Y58*Y$14,'Output - Jobs vs Yr (BAU)'!Y10)</f>
        <v>4483.0624301477446</v>
      </c>
      <c r="Z34" s="286">
        <f>MAX(Z58*Z$14,'Output - Jobs vs Yr (BAU)'!Z10)</f>
        <v>4563.3934594010752</v>
      </c>
      <c r="AA34" s="286">
        <f>MAX(AA58*AA$14,'Output - Jobs vs Yr (BAU)'!AA10)</f>
        <v>4642.7467014426775</v>
      </c>
      <c r="AB34" s="286">
        <f>MAX(AB58*AB$14,'Output - Jobs vs Yr (BAU)'!AB10)</f>
        <v>4685.7695748721462</v>
      </c>
      <c r="AC34" s="286">
        <f>MAX(AC58*AC$14,'Output - Jobs vs Yr (BAU)'!AC10)</f>
        <v>4780.0899478236261</v>
      </c>
      <c r="AD34" s="286">
        <f>MAX(AD58*AD$14,'Output - Jobs vs Yr (BAU)'!AD10)</f>
        <v>4844.0246191460192</v>
      </c>
      <c r="AE34" s="286">
        <f>MAX(AE58*AE$14,'Output - Jobs vs Yr (BAU)'!AE10)</f>
        <v>4920.1340963103512</v>
      </c>
      <c r="AF34" s="286">
        <f>MAX(AF58*AF$14,'Output - Jobs vs Yr (BAU)'!AF10)</f>
        <v>5010.2264632199267</v>
      </c>
      <c r="AG34" s="286">
        <f>MAX(AG58*AG$14,'Output - Jobs vs Yr (BAU)'!AG10)</f>
        <v>5158.0419867277706</v>
      </c>
      <c r="AH34" s="287">
        <f>Inputs!I17*'Output -Jobs vs Yr'!$AH$14</f>
        <v>5281.0647841360415</v>
      </c>
      <c r="AI34" s="127"/>
    </row>
    <row r="35" spans="1:36" s="20" customFormat="1">
      <c r="A35" s="9" t="s">
        <v>50</v>
      </c>
      <c r="B35" s="35">
        <v>1</v>
      </c>
      <c r="C35" s="330">
        <f>EIA_RE_aeo2014!E74*1000</f>
        <v>0</v>
      </c>
      <c r="D35" s="330">
        <f>MAX(D59*D$14,'Output - Jobs vs Yr (BAU)'!D11)</f>
        <v>0</v>
      </c>
      <c r="E35" s="330">
        <f>MAX(E59*E$14,'Output - Jobs vs Yr (BAU)'!E11)</f>
        <v>1.0000000000000001E-7</v>
      </c>
      <c r="F35" s="330">
        <f>MAX(F59*F$14,'Output - Jobs vs Yr (BAU)'!F11)</f>
        <v>1.0000000000000001E-7</v>
      </c>
      <c r="G35" s="330">
        <f>MAX(G59*G$14,'Output - Jobs vs Yr (BAU)'!G11)</f>
        <v>1.0000000000000001E-7</v>
      </c>
      <c r="H35" s="286">
        <f>'Output - Jobs vs Yr (BAU)'!H11</f>
        <v>1.0000000000000001E-7</v>
      </c>
      <c r="I35" s="286">
        <f>MAX(I59*I$14,'Output - Jobs vs Yr (BAU)'!I11)</f>
        <v>1.120484976009933E-7</v>
      </c>
      <c r="J35" s="286">
        <f>MAX(J59*J$14,'Output - Jobs vs Yr (BAU)'!J11)</f>
        <v>1.2283662084059092E-7</v>
      </c>
      <c r="K35" s="286">
        <f>MAX(K59*K$14,'Output - Jobs vs Yr (BAU)'!K11)</f>
        <v>1.3682022641086982E-7</v>
      </c>
      <c r="L35" s="286">
        <f>MAX(L59*L$14,'Output - Jobs vs Yr (BAU)'!L11)</f>
        <v>1.4705325752293442E-7</v>
      </c>
      <c r="M35" s="286">
        <f>MAX(M59*M$14,'Output - Jobs vs Yr (BAU)'!M11)</f>
        <v>1.6355024560933371E-7</v>
      </c>
      <c r="N35" s="287">
        <f>MAX(Inputs!$E19*N$21,'Output - Jobs vs Yr (BAU)'!N11)</f>
        <v>1.7502181795338885E-7</v>
      </c>
      <c r="O35" s="286">
        <f>MAX(O59*O$14,'Output - Jobs vs Yr (BAU)'!O11)</f>
        <v>1.7850682828523828E-7</v>
      </c>
      <c r="P35" s="286">
        <f>MAX(P59*P$14,'Output - Jobs vs Yr (BAU)'!P11)</f>
        <v>1.8115284040627386E-7</v>
      </c>
      <c r="Q35" s="286">
        <f>MAX(Q59*Q$14,'Output - Jobs vs Yr (BAU)'!Q11)</f>
        <v>1.8587736150508085E-7</v>
      </c>
      <c r="R35" s="286">
        <f>MAX(R59*R$14,'Output - Jobs vs Yr (BAU)'!R11)</f>
        <v>1.893208400042299E-7</v>
      </c>
      <c r="S35" s="286">
        <f>MAX(S59*S$14,'Output - Jobs vs Yr (BAU)'!S11)</f>
        <v>1.9182718129496602E-7</v>
      </c>
      <c r="T35" s="286">
        <f>MAX(T59*T$14,'Output - Jobs vs Yr (BAU)'!T11)</f>
        <v>1.9604760378913049E-7</v>
      </c>
      <c r="U35" s="286">
        <f>MAX(U59*U$14,'Output - Jobs vs Yr (BAU)'!U11)</f>
        <v>2.0013509424724236E-7</v>
      </c>
      <c r="V35" s="286">
        <f>MAX(V59*V$14,'Output - Jobs vs Yr (BAU)'!V11)</f>
        <v>2.0255356503623846E-7</v>
      </c>
      <c r="W35" s="286">
        <f>MAX(W59*W$14,'Output - Jobs vs Yr (BAU)'!W11)</f>
        <v>2.0646473567697275E-7</v>
      </c>
      <c r="X35" s="287">
        <f>Inputs!F19*'Output -Jobs vs Yr'!$X$14</f>
        <v>2.1000667317348234E-7</v>
      </c>
      <c r="Y35" s="286">
        <f>MAX(Y59*Y$14,'Output - Jobs vs Yr (BAU)'!Y11)</f>
        <v>2.1380020964897363E-7</v>
      </c>
      <c r="Z35" s="286">
        <f>MAX(Z59*Z$14,'Output - Jobs vs Yr (BAU)'!Z11)</f>
        <v>2.1763124951586964E-7</v>
      </c>
      <c r="AA35" s="286">
        <f>MAX(AA59*AA$14,'Output - Jobs vs Yr (BAU)'!AA11)</f>
        <v>2.2141565806452803E-7</v>
      </c>
      <c r="AB35" s="286">
        <f>MAX(AB59*AB$14,'Output - Jobs vs Yr (BAU)'!AB11)</f>
        <v>2.2346744732739105E-7</v>
      </c>
      <c r="AC35" s="286">
        <f>MAX(AC59*AC$14,'Output - Jobs vs Yr (BAU)'!AC11)</f>
        <v>2.2796564823924653E-7</v>
      </c>
      <c r="AD35" s="286">
        <f>MAX(AD59*AD$14,'Output - Jobs vs Yr (BAU)'!AD11)</f>
        <v>2.3101473496189461E-7</v>
      </c>
      <c r="AE35" s="286">
        <f>MAX(AE59*AE$14,'Output - Jobs vs Yr (BAU)'!AE11)</f>
        <v>2.3464444622011405E-7</v>
      </c>
      <c r="AF35" s="286">
        <f>MAX(AF59*AF$14,'Output - Jobs vs Yr (BAU)'!AF11)</f>
        <v>2.3894101073001419E-7</v>
      </c>
      <c r="AG35" s="286">
        <f>MAX(AG59*AG$14,'Output - Jobs vs Yr (BAU)'!AG11)</f>
        <v>2.459904307208726E-7</v>
      </c>
      <c r="AH35" s="287">
        <f>Inputs!I19*'Output -Jobs vs Yr'!$AH$14</f>
        <v>2.5185746922129886E-7</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489</v>
      </c>
      <c r="D37" s="330">
        <f>MAX(D61*D$14,'Output - Jobs vs Yr (BAU)'!D12)</f>
        <v>574.10189904458935</v>
      </c>
      <c r="E37" s="330">
        <f>MAX(E61*E$14,'Output - Jobs vs Yr (BAU)'!E12)</f>
        <v>802.14503632067488</v>
      </c>
      <c r="F37" s="330">
        <f>MAX(F61*F$14,'Output - Jobs vs Yr (BAU)'!F12)</f>
        <v>865.14373850665118</v>
      </c>
      <c r="G37" s="330">
        <f>MAX(G61*G$14,'Output - Jobs vs Yr (BAU)'!G12)</f>
        <v>680.7908794143641</v>
      </c>
      <c r="H37" s="286">
        <f>'Output - Jobs vs Yr (BAU)'!H12</f>
        <v>362.80386002287167</v>
      </c>
      <c r="I37" s="118">
        <f>MAX(I61*I$14,'Output - Jobs vs Yr (BAU)'!I12)</f>
        <v>407.76879707346728</v>
      </c>
      <c r="J37" s="118">
        <f>MAX(J61*J$14,'Output - Jobs vs Yr (BAU)'!J12)</f>
        <v>448.40646588421293</v>
      </c>
      <c r="K37" s="118">
        <f>MAX(K61*K$14,'Output - Jobs vs Yr (BAU)'!K12)</f>
        <v>500.99150703456684</v>
      </c>
      <c r="L37" s="118">
        <f>MAX(L61*L$14,'Output - Jobs vs Yr (BAU)'!L12)</f>
        <v>540.12062506484926</v>
      </c>
      <c r="M37" s="118">
        <f>MAX(M61*M$14,'Output - Jobs vs Yr (BAU)'!M12)</f>
        <v>602.56425633250888</v>
      </c>
      <c r="N37" s="184">
        <f>MAX(Inputs!$E20*N$21,'Output - Jobs vs Yr (BAU)'!N12)</f>
        <v>646.81548605716137</v>
      </c>
      <c r="O37" s="174">
        <f>MAX(O61*O$14,'Output - Jobs vs Yr (BAU)'!O12)</f>
        <v>659.69478692415237</v>
      </c>
      <c r="P37" s="174">
        <f>MAX(P61*P$14,'Output - Jobs vs Yr (BAU)'!P12)</f>
        <v>669.47346272694028</v>
      </c>
      <c r="Q37" s="174">
        <f>MAX(Q61*Q$14,'Output - Jobs vs Yr (BAU)'!Q12)</f>
        <v>686.93353397203498</v>
      </c>
      <c r="R37" s="174">
        <f>MAX(R61*R$14,'Output - Jobs vs Yr (BAU)'!R12)</f>
        <v>699.65934864588121</v>
      </c>
      <c r="S37" s="174">
        <f>MAX(S61*S$14,'Output - Jobs vs Yr (BAU)'!S12)</f>
        <v>708.92185305332805</v>
      </c>
      <c r="T37" s="174">
        <f>MAX(T61*T$14,'Output - Jobs vs Yr (BAU)'!T12)</f>
        <v>724.51896350990296</v>
      </c>
      <c r="U37" s="174">
        <f>MAX(U61*U$14,'Output - Jobs vs Yr (BAU)'!U12)</f>
        <v>739.62480664610996</v>
      </c>
      <c r="V37" s="174">
        <f>MAX(V61*V$14,'Output - Jobs vs Yr (BAU)'!V12)</f>
        <v>748.56257438953583</v>
      </c>
      <c r="W37" s="174">
        <f>MAX(W61*W$14,'Output - Jobs vs Yr (BAU)'!W12)</f>
        <v>763.01680511700295</v>
      </c>
      <c r="X37" s="184">
        <f>Inputs!F20*'Output -Jobs vs Yr'!$X$14</f>
        <v>776.10648759304183</v>
      </c>
      <c r="Y37" s="174">
        <f>MAX(Y61*Y$14,'Output - Jobs vs Yr (BAU)'!Y12)</f>
        <v>790.1259862359135</v>
      </c>
      <c r="Z37" s="174">
        <f>MAX(Z61*Z$14,'Output - Jobs vs Yr (BAU)'!Z12)</f>
        <v>804.28408345251671</v>
      </c>
      <c r="AA37" s="174">
        <f>MAX(AA61*AA$14,'Output - Jobs vs Yr (BAU)'!AA12)</f>
        <v>818.26984867574868</v>
      </c>
      <c r="AB37" s="174">
        <f>MAX(AB61*AB$14,'Output - Jobs vs Yr (BAU)'!AB12)</f>
        <v>825.85249799835515</v>
      </c>
      <c r="AC37" s="174">
        <f>MAX(AC61*AC$14,'Output - Jobs vs Yr (BAU)'!AC12)</f>
        <v>842.47617408175302</v>
      </c>
      <c r="AD37" s="174">
        <f>MAX(AD61*AD$14,'Output - Jobs vs Yr (BAU)'!AD12)</f>
        <v>853.74446356475505</v>
      </c>
      <c r="AE37" s="174">
        <f>MAX(AE61*AE$14,'Output - Jobs vs Yr (BAU)'!AE12)</f>
        <v>867.1585251896754</v>
      </c>
      <c r="AF37" s="174">
        <f>MAX(AF61*AF$14,'Output - Jobs vs Yr (BAU)'!AF12)</f>
        <v>883.03702819201044</v>
      </c>
      <c r="AG37" s="174">
        <f>MAX(AG61*AG$14,'Output - Jobs vs Yr (BAU)'!AG12)</f>
        <v>909.08906028221793</v>
      </c>
      <c r="AH37" s="184">
        <f>Inputs!I20*'Output -Jobs vs Yr'!$AH$14</f>
        <v>930.77145053358629</v>
      </c>
      <c r="AI37" s="127"/>
    </row>
    <row r="38" spans="1:36" s="20" customFormat="1">
      <c r="A38" s="9" t="s">
        <v>347</v>
      </c>
      <c r="B38" s="35">
        <v>1</v>
      </c>
      <c r="C38" s="330">
        <f>'Output - Jobs vs Yr (BAU)'!C13</f>
        <v>0</v>
      </c>
      <c r="D38" s="330">
        <f>MAX(D62*D$14,'Output - Jobs vs Yr (BAU)'!D13)</f>
        <v>0</v>
      </c>
      <c r="E38" s="330">
        <f>MAX(E62*E$14,'Output - Jobs vs Yr (BAU)'!E13)</f>
        <v>0.2</v>
      </c>
      <c r="F38" s="330">
        <f>MAX(F62*F$14,'Output - Jobs vs Yr (BAU)'!F13)</f>
        <v>0.2</v>
      </c>
      <c r="G38" s="330">
        <f>MAX(G62*G$14,'Output - Jobs vs Yr (BAU)'!G13)</f>
        <v>0.2</v>
      </c>
      <c r="H38" s="286">
        <f>'Output - Jobs vs Yr (BAU)'!H13</f>
        <v>0.2</v>
      </c>
      <c r="I38" s="118">
        <f>MAX(I62*I$14,'Output - Jobs vs Yr (BAU)'!I13)</f>
        <v>0.22409699520198656</v>
      </c>
      <c r="J38" s="118">
        <f>MAX(J62*J$14,'Output - Jobs vs Yr (BAU)'!J13)</f>
        <v>0.24567324168118179</v>
      </c>
      <c r="K38" s="118">
        <f>MAX(K62*K$14,'Output - Jobs vs Yr (BAU)'!K13)</f>
        <v>0.27364045282173954</v>
      </c>
      <c r="L38" s="118">
        <f>MAX(L62*L$14,'Output - Jobs vs Yr (BAU)'!L13)</f>
        <v>0.29410651504586877</v>
      </c>
      <c r="M38" s="118">
        <f>MAX(M62*M$14,'Output - Jobs vs Yr (BAU)'!M13)</f>
        <v>0.32710049121866724</v>
      </c>
      <c r="N38" s="184">
        <f>MAX(Inputs!$E21*N$21,'Output - Jobs vs Yr (BAU)'!N13)</f>
        <v>0.35004363590677767</v>
      </c>
      <c r="O38" s="174">
        <f>MAX(O62*O$14,'Output - Jobs vs Yr (BAU)'!O13)</f>
        <v>0.35701365657047635</v>
      </c>
      <c r="P38" s="174">
        <f>MAX(P62*P$14,'Output - Jobs vs Yr (BAU)'!P13)</f>
        <v>0.36230568081254749</v>
      </c>
      <c r="Q38" s="174">
        <f>MAX(Q62*Q$14,'Output - Jobs vs Yr (BAU)'!Q13)</f>
        <v>0.37175472301016155</v>
      </c>
      <c r="R38" s="174">
        <f>MAX(R62*R$14,'Output - Jobs vs Yr (BAU)'!R13)</f>
        <v>0.37864168000845966</v>
      </c>
      <c r="S38" s="174">
        <f>MAX(S62*S$14,'Output - Jobs vs Yr (BAU)'!S13)</f>
        <v>0.38365436258993185</v>
      </c>
      <c r="T38" s="174">
        <f>MAX(T62*T$14,'Output - Jobs vs Yr (BAU)'!T13)</f>
        <v>0.39209520757826077</v>
      </c>
      <c r="U38" s="174">
        <f>MAX(U62*U$14,'Output - Jobs vs Yr (BAU)'!U13)</f>
        <v>0.40027018849448454</v>
      </c>
      <c r="V38" s="174">
        <f>MAX(V62*V$14,'Output - Jobs vs Yr (BAU)'!V13)</f>
        <v>0.40510713007247673</v>
      </c>
      <c r="W38" s="174">
        <f>MAX(W62*W$14,'Output - Jobs vs Yr (BAU)'!W13)</f>
        <v>0.41292947135394525</v>
      </c>
      <c r="X38" s="184">
        <f>Inputs!F21*'Output -Jobs vs Yr'!$X$14</f>
        <v>0.42001334634696463</v>
      </c>
      <c r="Y38" s="174">
        <f>MAX(Y62*Y$14,'Output - Jobs vs Yr (BAU)'!Y13)</f>
        <v>0.42760041929794712</v>
      </c>
      <c r="Z38" s="174">
        <f>MAX(Z62*Z$14,'Output - Jobs vs Yr (BAU)'!Z13)</f>
        <v>0.43526249903173914</v>
      </c>
      <c r="AA38" s="174">
        <f>MAX(AA62*AA$14,'Output - Jobs vs Yr (BAU)'!AA13)</f>
        <v>0.44283131612905591</v>
      </c>
      <c r="AB38" s="174">
        <f>MAX(AB62*AB$14,'Output - Jobs vs Yr (BAU)'!AB13)</f>
        <v>0.44693489465478192</v>
      </c>
      <c r="AC38" s="174">
        <f>MAX(AC62*AC$14,'Output - Jobs vs Yr (BAU)'!AC13)</f>
        <v>0.4559312964784929</v>
      </c>
      <c r="AD38" s="174">
        <f>MAX(AD62*AD$14,'Output - Jobs vs Yr (BAU)'!AD13)</f>
        <v>0.46202946992378907</v>
      </c>
      <c r="AE38" s="174">
        <f>MAX(AE62*AE$14,'Output - Jobs vs Yr (BAU)'!AE13)</f>
        <v>0.46928889244022798</v>
      </c>
      <c r="AF38" s="174">
        <f>MAX(AF62*AF$14,'Output - Jobs vs Yr (BAU)'!AF13)</f>
        <v>0.47788202146002823</v>
      </c>
      <c r="AG38" s="174">
        <f>MAX(AG62*AG$14,'Output - Jobs vs Yr (BAU)'!AG13)</f>
        <v>0.49198086144174502</v>
      </c>
      <c r="AH38" s="184">
        <f>Inputs!I21*'Output -Jobs vs Yr'!$AH$14</f>
        <v>0.50371493844259774</v>
      </c>
      <c r="AI38" s="127"/>
    </row>
    <row r="39" spans="1:36" s="20" customFormat="1">
      <c r="A39" s="9" t="s">
        <v>348</v>
      </c>
      <c r="B39" s="35">
        <v>1</v>
      </c>
      <c r="C39" s="330">
        <f>'Output - Jobs vs Yr (BAU)'!C14</f>
        <v>0</v>
      </c>
      <c r="D39" s="330">
        <f>MAX(D63*D$14,'Output - Jobs vs Yr (BAU)'!D14)</f>
        <v>0</v>
      </c>
      <c r="E39" s="330">
        <f>MAX(E63*E$14,'Output - Jobs vs Yr (BAU)'!E14)</f>
        <v>0.1</v>
      </c>
      <c r="F39" s="330">
        <f>MAX(F63*F$14,'Output - Jobs vs Yr (BAU)'!F14)</f>
        <v>0.1</v>
      </c>
      <c r="G39" s="330">
        <f>MAX(G63*G$14,'Output - Jobs vs Yr (BAU)'!G14)</f>
        <v>0.1</v>
      </c>
      <c r="H39" s="286">
        <f>'Output - Jobs vs Yr (BAU)'!H14</f>
        <v>0.1</v>
      </c>
      <c r="I39" s="118">
        <f>MAX(I63*I$14,'Output - Jobs vs Yr (BAU)'!I14)</f>
        <v>0.11204849760099328</v>
      </c>
      <c r="J39" s="118">
        <f>MAX(J63*J$14,'Output - Jobs vs Yr (BAU)'!J14)</f>
        <v>0.1228366208405909</v>
      </c>
      <c r="K39" s="118">
        <f>MAX(K63*K$14,'Output - Jobs vs Yr (BAU)'!K14)</f>
        <v>0.13682022641086977</v>
      </c>
      <c r="L39" s="118">
        <f>MAX(L63*L$14,'Output - Jobs vs Yr (BAU)'!L14)</f>
        <v>0.14705325752293438</v>
      </c>
      <c r="M39" s="118">
        <f>MAX(M63*M$14,'Output - Jobs vs Yr (BAU)'!M14)</f>
        <v>0.16355024560933362</v>
      </c>
      <c r="N39" s="184">
        <f>MAX(Inputs!$E22*N$21,'Output - Jobs vs Yr (BAU)'!N14)</f>
        <v>0.17502181795338884</v>
      </c>
      <c r="O39" s="174">
        <f>MAX(O63*O$14,'Output - Jobs vs Yr (BAU)'!O14)</f>
        <v>0.17850682828523817</v>
      </c>
      <c r="P39" s="174">
        <f>MAX(P63*P$14,'Output - Jobs vs Yr (BAU)'!P14)</f>
        <v>0.18115284040627375</v>
      </c>
      <c r="Q39" s="174">
        <f>MAX(Q63*Q$14,'Output - Jobs vs Yr (BAU)'!Q14)</f>
        <v>0.18587736150508077</v>
      </c>
      <c r="R39" s="174">
        <f>MAX(R63*R$14,'Output - Jobs vs Yr (BAU)'!R14)</f>
        <v>0.18932084000422983</v>
      </c>
      <c r="S39" s="174">
        <f>MAX(S63*S$14,'Output - Jobs vs Yr (BAU)'!S14)</f>
        <v>0.19182718129496593</v>
      </c>
      <c r="T39" s="174">
        <f>MAX(T63*T$14,'Output - Jobs vs Yr (BAU)'!T14)</f>
        <v>0.19604760378913039</v>
      </c>
      <c r="U39" s="174">
        <f>MAX(U63*U$14,'Output - Jobs vs Yr (BAU)'!U14)</f>
        <v>0.20013509424724227</v>
      </c>
      <c r="V39" s="174">
        <f>MAX(V63*V$14,'Output - Jobs vs Yr (BAU)'!V14)</f>
        <v>0.20255356503623836</v>
      </c>
      <c r="W39" s="174">
        <f>MAX(W63*W$14,'Output - Jobs vs Yr (BAU)'!W14)</f>
        <v>0.20646473567697263</v>
      </c>
      <c r="X39" s="184">
        <f>Inputs!F22*'Output -Jobs vs Yr'!$X$14</f>
        <v>0.21000667317348232</v>
      </c>
      <c r="Y39" s="174">
        <f>MAX(Y63*Y$14,'Output - Jobs vs Yr (BAU)'!Y14)</f>
        <v>0.21380020964897356</v>
      </c>
      <c r="Z39" s="174">
        <f>MAX(Z63*Z$14,'Output - Jobs vs Yr (BAU)'!Z14)</f>
        <v>0.21763124951586957</v>
      </c>
      <c r="AA39" s="174">
        <f>MAX(AA63*AA$14,'Output - Jobs vs Yr (BAU)'!AA14)</f>
        <v>0.22141565806452795</v>
      </c>
      <c r="AB39" s="174">
        <f>MAX(AB63*AB$14,'Output - Jobs vs Yr (BAU)'!AB14)</f>
        <v>0.22346744732739096</v>
      </c>
      <c r="AC39" s="174">
        <f>MAX(AC63*AC$14,'Output - Jobs vs Yr (BAU)'!AC14)</f>
        <v>0.22796564823924645</v>
      </c>
      <c r="AD39" s="174">
        <f>MAX(AD63*AD$14,'Output - Jobs vs Yr (BAU)'!AD14)</f>
        <v>0.23101473496189454</v>
      </c>
      <c r="AE39" s="174">
        <f>MAX(AE63*AE$14,'Output - Jobs vs Yr (BAU)'!AE14)</f>
        <v>0.23464444622011399</v>
      </c>
      <c r="AF39" s="174">
        <f>MAX(AF63*AF$14,'Output - Jobs vs Yr (BAU)'!AF14)</f>
        <v>0.23894101073001411</v>
      </c>
      <c r="AG39" s="174">
        <f>MAX(AG63*AG$14,'Output - Jobs vs Yr (BAU)'!AG14)</f>
        <v>0.24599043072087251</v>
      </c>
      <c r="AH39" s="184">
        <f>Inputs!I22*'Output -Jobs vs Yr'!$AH$14</f>
        <v>0.25185746922129887</v>
      </c>
      <c r="AI39" s="127"/>
    </row>
    <row r="40" spans="1:36" s="20" customFormat="1">
      <c r="A40" s="9" t="s">
        <v>344</v>
      </c>
      <c r="B40" s="35">
        <v>1</v>
      </c>
      <c r="C40" s="330">
        <f>'Output - Jobs vs Yr (BAU)'!C15</f>
        <v>0.01</v>
      </c>
      <c r="D40" s="330">
        <f>MAX(D64*D$14,'Output - Jobs vs Yr (BAU)'!D15)</f>
        <v>1.1704262974103671E-2</v>
      </c>
      <c r="E40" s="330">
        <f>MAX(E64*E$14,'Output - Jobs vs Yr (BAU)'!E15)</f>
        <v>1.2538123994376642E-2</v>
      </c>
      <c r="F40" s="330">
        <f>MAX(F64*F$14,'Output - Jobs vs Yr (BAU)'!F15)</f>
        <v>1.3409736422205032E-2</v>
      </c>
      <c r="G40" s="330">
        <f>MAX(G64*G$14,'Output - Jobs vs Yr (BAU)'!G15)</f>
        <v>1.375183511932843E-2</v>
      </c>
      <c r="H40" s="286">
        <f>'Output - Jobs vs Yr (BAU)'!H15</f>
        <v>0.01</v>
      </c>
      <c r="I40" s="118">
        <f>MAX(I64*I$14,'Output - Jobs vs Yr (BAU)'!I15)</f>
        <v>1.120484976009933E-2</v>
      </c>
      <c r="J40" s="118">
        <f>MAX(J64*J$14,'Output - Jobs vs Yr (BAU)'!J15)</f>
        <v>1.2283662084059092E-2</v>
      </c>
      <c r="K40" s="118">
        <f>MAX(K64*K$14,'Output - Jobs vs Yr (BAU)'!K15)</f>
        <v>1.3682022641086981E-2</v>
      </c>
      <c r="L40" s="118">
        <f>MAX(L64*L$14,'Output - Jobs vs Yr (BAU)'!L15)</f>
        <v>1.4705325752293441E-2</v>
      </c>
      <c r="M40" s="118">
        <f>MAX(M64*M$14,'Output - Jobs vs Yr (BAU)'!M15)</f>
        <v>1.6355024560933368E-2</v>
      </c>
      <c r="N40" s="184">
        <f>MAX(Inputs!$E18*N$21,'Output - Jobs vs Yr (BAU)'!N15)</f>
        <v>1.7502181795338884E-2</v>
      </c>
      <c r="O40" s="174">
        <f>MAX(O64*O$14,'Output - Jobs vs Yr (BAU)'!O15)</f>
        <v>1.7850682828523822E-2</v>
      </c>
      <c r="P40" s="174">
        <f>MAX(P64*P$14,'Output - Jobs vs Yr (BAU)'!P15)</f>
        <v>1.8115284040627382E-2</v>
      </c>
      <c r="Q40" s="174">
        <f>MAX(Q64*Q$14,'Output - Jobs vs Yr (BAU)'!Q15)</f>
        <v>1.8587736150508082E-2</v>
      </c>
      <c r="R40" s="174">
        <f>MAX(R64*R$14,'Output - Jobs vs Yr (BAU)'!R15)</f>
        <v>1.893208400042299E-2</v>
      </c>
      <c r="S40" s="174">
        <f>MAX(S64*S$14,'Output - Jobs vs Yr (BAU)'!S15)</f>
        <v>1.9182718129496602E-2</v>
      </c>
      <c r="T40" s="174">
        <f>MAX(T64*T$14,'Output - Jobs vs Yr (BAU)'!T15)</f>
        <v>1.9604760378913049E-2</v>
      </c>
      <c r="U40" s="174">
        <f>MAX(U64*U$14,'Output - Jobs vs Yr (BAU)'!U15)</f>
        <v>2.0013509424724234E-2</v>
      </c>
      <c r="V40" s="174">
        <f>MAX(V64*V$14,'Output - Jobs vs Yr (BAU)'!V15)</f>
        <v>2.0255356503623846E-2</v>
      </c>
      <c r="W40" s="174">
        <f>MAX(W64*W$14,'Output - Jobs vs Yr (BAU)'!W15)</f>
        <v>2.0646473567697273E-2</v>
      </c>
      <c r="X40" s="184">
        <f>Inputs!F18*'Output -Jobs vs Yr'!$X$14</f>
        <v>2.1000667317348232E-2</v>
      </c>
      <c r="Y40" s="174">
        <f>MAX(Y64*Y$14,'Output - Jobs vs Yr (BAU)'!Y15)</f>
        <v>2.138002096489736E-2</v>
      </c>
      <c r="Z40" s="174">
        <f>MAX(Z64*Z$14,'Output - Jobs vs Yr (BAU)'!Z15)</f>
        <v>2.1763124951586964E-2</v>
      </c>
      <c r="AA40" s="174">
        <f>MAX(AA64*AA$14,'Output - Jobs vs Yr (BAU)'!AA15)</f>
        <v>2.2141565806452799E-2</v>
      </c>
      <c r="AB40" s="174">
        <f>MAX(AB64*AB$14,'Output - Jobs vs Yr (BAU)'!AB15)</f>
        <v>2.23467447327391E-2</v>
      </c>
      <c r="AC40" s="174">
        <f>MAX(AC64*AC$14,'Output - Jobs vs Yr (BAU)'!AC15)</f>
        <v>2.2796564823924649E-2</v>
      </c>
      <c r="AD40" s="174">
        <f>MAX(AD64*AD$14,'Output - Jobs vs Yr (BAU)'!AD15)</f>
        <v>2.3101473496189458E-2</v>
      </c>
      <c r="AE40" s="174">
        <f>MAX(AE64*AE$14,'Output - Jobs vs Yr (BAU)'!AE15)</f>
        <v>2.3464444622011398E-2</v>
      </c>
      <c r="AF40" s="174">
        <f>MAX(AF64*AF$14,'Output - Jobs vs Yr (BAU)'!AF15)</f>
        <v>2.3894101073001415E-2</v>
      </c>
      <c r="AG40" s="174">
        <f>MAX(AG64*AG$14,'Output - Jobs vs Yr (BAU)'!AG15)</f>
        <v>2.4599043072087257E-2</v>
      </c>
      <c r="AH40" s="184">
        <f>Inputs!I18*'Output -Jobs vs Yr'!$AH$14</f>
        <v>2.5185746922129892E-2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1052</v>
      </c>
      <c r="D42" s="330">
        <f>MAX(D66*D$14,'Output - Jobs vs Yr (BAU)'!D16)</f>
        <v>1290.9152947134335</v>
      </c>
      <c r="E42" s="330">
        <f>MAX(E66*E$14,'Output - Jobs vs Yr (BAU)'!E16)</f>
        <v>1449.8536664993642</v>
      </c>
      <c r="F42" s="330">
        <f>MAX(F66*F$14,'Output - Jobs vs Yr (BAU)'!F16)</f>
        <v>1625.7351203079202</v>
      </c>
      <c r="G42" s="330">
        <f>MAX(G66*G$14,'Output - Jobs vs Yr (BAU)'!G16)</f>
        <v>1747.9465096876042</v>
      </c>
      <c r="H42" s="286">
        <f>'Output - Jobs vs Yr (BAU)'!H16</f>
        <v>1311.4041537841001</v>
      </c>
      <c r="I42" s="118">
        <f>MAX(I66*I$14,'Output - Jobs vs Yr (BAU)'!I16)</f>
        <v>1574.00284443796</v>
      </c>
      <c r="J42" s="118">
        <f>MAX(J66*J$14,'Output - Jobs vs Yr (BAU)'!J16)</f>
        <v>1770.6808345965371</v>
      </c>
      <c r="K42" s="118">
        <f>MAX(K66*K$14,'Output - Jobs vs Yr (BAU)'!K16)</f>
        <v>2067.7625532598922</v>
      </c>
      <c r="L42" s="118">
        <f>MAX(L66*L$14,'Output - Jobs vs Yr (BAU)'!L16)</f>
        <v>2330.0376906325487</v>
      </c>
      <c r="M42" s="118">
        <f>MAX(M66*M$14,'Output - Jobs vs Yr (BAU)'!M16)</f>
        <v>2716.923641849095</v>
      </c>
      <c r="N42" s="184">
        <f>MAX(Inputs!$E23*N$21,'Output - Jobs vs Yr (BAU)'!N16)</f>
        <v>3048.2905396515562</v>
      </c>
      <c r="O42" s="174">
        <f>MAX(O66*O$14,'Output - Jobs vs Yr (BAU)'!O16)</f>
        <v>3108.9876810102055</v>
      </c>
      <c r="P42" s="174">
        <f>MAX(P66*P$14,'Output - Jobs vs Yr (BAU)'!P16)</f>
        <v>3155.0722995490446</v>
      </c>
      <c r="Q42" s="174">
        <f>MAX(Q66*Q$14,'Output - Jobs vs Yr (BAU)'!Q16)</f>
        <v>3237.3575434019735</v>
      </c>
      <c r="R42" s="174">
        <f>MAX(R66*R$14,'Output - Jobs vs Yr (BAU)'!R16)</f>
        <v>3297.3313401273917</v>
      </c>
      <c r="S42" s="174">
        <f>MAX(S66*S$14,'Output - Jobs vs Yr (BAU)'!S16)</f>
        <v>3340.9833632581517</v>
      </c>
      <c r="T42" s="174">
        <f>MAX(T66*T$14,'Output - Jobs vs Yr (BAU)'!T16)</f>
        <v>3414.4889073824866</v>
      </c>
      <c r="U42" s="174">
        <f>MAX(U66*U$14,'Output - Jobs vs Yr (BAU)'!U16)</f>
        <v>3485.6792231961226</v>
      </c>
      <c r="V42" s="174">
        <f>MAX(V66*V$14,'Output - Jobs vs Yr (BAU)'!V16)</f>
        <v>3527.8008381623422</v>
      </c>
      <c r="W42" s="174">
        <f>MAX(W66*W$14,'Output - Jobs vs Yr (BAU)'!W16)</f>
        <v>3595.9202566584313</v>
      </c>
      <c r="X42" s="184">
        <f>Inputs!F23*'Output -Jobs vs Yr'!$X$14</f>
        <v>3657.6088774766799</v>
      </c>
      <c r="Y42" s="174">
        <f>MAX(Y66*Y$14,'Output - Jobs vs Yr (BAU)'!Y16)</f>
        <v>3723.6795050434825</v>
      </c>
      <c r="Z42" s="174">
        <f>MAX(Z66*Z$14,'Output - Jobs vs Yr (BAU)'!Z16)</f>
        <v>3790.4033153652172</v>
      </c>
      <c r="AA42" s="174">
        <f>MAX(AA66*AA$14,'Output - Jobs vs Yr (BAU)'!AA16)</f>
        <v>3856.3149651923495</v>
      </c>
      <c r="AB42" s="174">
        <f>MAX(AB66*AB$14,'Output - Jobs vs Yr (BAU)'!AB16)</f>
        <v>3892.0502230732245</v>
      </c>
      <c r="AC42" s="174">
        <f>MAX(AC66*AC$14,'Output - Jobs vs Yr (BAU)'!AC16)</f>
        <v>3970.3937315877615</v>
      </c>
      <c r="AD42" s="174">
        <f>MAX(AD66*AD$14,'Output - Jobs vs Yr (BAU)'!AD16)</f>
        <v>4023.4985520033542</v>
      </c>
      <c r="AE42" s="174">
        <f>MAX(AE66*AE$14,'Output - Jobs vs Yr (BAU)'!AE16)</f>
        <v>4086.7158961006694</v>
      </c>
      <c r="AF42" s="174">
        <f>MAX(AF66*AF$14,'Output - Jobs vs Yr (BAU)'!AF16)</f>
        <v>4161.5475776686171</v>
      </c>
      <c r="AG42" s="174">
        <f>MAX(AG66*AG$14,'Output - Jobs vs Yr (BAU)'!AG16)</f>
        <v>4284.3247292228698</v>
      </c>
      <c r="AH42" s="184">
        <f>Inputs!I23*'Output -Jobs vs Yr'!$AH$14</f>
        <v>4386.508777850363</v>
      </c>
      <c r="AI42" s="127"/>
    </row>
    <row r="43" spans="1:36">
      <c r="A43" s="10" t="s">
        <v>332</v>
      </c>
      <c r="B43" s="37"/>
      <c r="C43" s="330">
        <f>SUM(C31:C42)</f>
        <v>16387</v>
      </c>
      <c r="D43" s="330">
        <f t="shared" ref="D43:AG43" si="29">SUM(D31:D42)</f>
        <v>17036.562137483481</v>
      </c>
      <c r="E43" s="330">
        <f t="shared" si="29"/>
        <v>16582.332680258231</v>
      </c>
      <c r="F43" s="330">
        <f t="shared" si="29"/>
        <v>15855.962417583132</v>
      </c>
      <c r="G43" s="330">
        <f t="shared" si="29"/>
        <v>14359.262630293724</v>
      </c>
      <c r="H43" s="286">
        <f t="shared" si="29"/>
        <v>15371.356054623675</v>
      </c>
      <c r="I43" s="83">
        <f t="shared" si="29"/>
        <v>15084.102640052835</v>
      </c>
      <c r="J43" s="83">
        <f t="shared" si="29"/>
        <v>14448.226099092533</v>
      </c>
      <c r="K43" s="83">
        <f t="shared" si="29"/>
        <v>14136.020391477898</v>
      </c>
      <c r="L43" s="83">
        <f t="shared" si="29"/>
        <v>13404.581798805406</v>
      </c>
      <c r="M43" s="83">
        <f t="shared" si="29"/>
        <v>13230.632065437821</v>
      </c>
      <c r="N43" s="184">
        <f t="shared" si="29"/>
        <v>12660.944817111202</v>
      </c>
      <c r="O43" s="83">
        <f t="shared" si="29"/>
        <v>12830.033390710149</v>
      </c>
      <c r="P43" s="83">
        <f t="shared" si="29"/>
        <v>12936.985755164043</v>
      </c>
      <c r="Q43" s="83">
        <f t="shared" si="29"/>
        <v>13189.873587769773</v>
      </c>
      <c r="R43" s="83">
        <f t="shared" si="29"/>
        <v>13349.212660478232</v>
      </c>
      <c r="S43" s="83">
        <f t="shared" si="29"/>
        <v>13440.86556476465</v>
      </c>
      <c r="T43" s="83">
        <f t="shared" si="29"/>
        <v>13650.546315657431</v>
      </c>
      <c r="U43" s="83">
        <f t="shared" si="29"/>
        <v>13848.360137954007</v>
      </c>
      <c r="V43" s="83">
        <f t="shared" si="29"/>
        <v>13929.016258177266</v>
      </c>
      <c r="W43" s="83">
        <f t="shared" si="29"/>
        <v>14110.543066897844</v>
      </c>
      <c r="X43" s="184">
        <f t="shared" si="29"/>
        <v>14264.756263860978</v>
      </c>
      <c r="Y43" s="174">
        <f t="shared" si="29"/>
        <v>14425.569110231811</v>
      </c>
      <c r="Z43" s="174">
        <f t="shared" si="29"/>
        <v>14587.120277969792</v>
      </c>
      <c r="AA43" s="174">
        <f t="shared" si="29"/>
        <v>14743.825242593583</v>
      </c>
      <c r="AB43" s="174">
        <f t="shared" si="29"/>
        <v>14784.418803659159</v>
      </c>
      <c r="AC43" s="174">
        <f t="shared" si="29"/>
        <v>14985.480223712062</v>
      </c>
      <c r="AD43" s="174">
        <f t="shared" si="29"/>
        <v>15089.885956768023</v>
      </c>
      <c r="AE43" s="174">
        <f t="shared" si="29"/>
        <v>15231.039880016951</v>
      </c>
      <c r="AF43" s="174">
        <f t="shared" si="29"/>
        <v>15413.828046673072</v>
      </c>
      <c r="AG43" s="174">
        <f t="shared" si="29"/>
        <v>15771.021223340031</v>
      </c>
      <c r="AH43" s="184">
        <f>SUM(AH31:AH42)</f>
        <v>16049.108952502851</v>
      </c>
      <c r="AI43" s="127"/>
    </row>
    <row r="44" spans="1:36">
      <c r="A44" s="10" t="s">
        <v>124</v>
      </c>
      <c r="B44" s="37"/>
      <c r="C44" s="331">
        <f>SUMPRODUCT($B34:$B42,C34:C42)</f>
        <v>2310.0100000000002</v>
      </c>
      <c r="D44" s="331">
        <f>SUMPRODUCT($B34:$B42,D34:D42)</f>
        <v>2805.8251614463065</v>
      </c>
      <c r="E44" s="331">
        <f t="shared" ref="E44:AG44" si="30">SUMPRODUCT($B34:$B42*E34:E42)</f>
        <v>3464.3494102647201</v>
      </c>
      <c r="F44" s="331">
        <f t="shared" si="30"/>
        <v>3834.2790620767828</v>
      </c>
      <c r="G44" s="331">
        <f t="shared" si="30"/>
        <v>3846.6669674790064</v>
      </c>
      <c r="H44" s="402">
        <f t="shared" si="30"/>
        <v>3283.2572926552211</v>
      </c>
      <c r="I44" s="14">
        <f>SUMPRODUCT($B34:$B42*I34:I42)</f>
        <v>3867.1038723922597</v>
      </c>
      <c r="J44" s="14">
        <f t="shared" si="30"/>
        <v>4380.1818430207477</v>
      </c>
      <c r="K44" s="14">
        <f t="shared" si="30"/>
        <v>5085.3043620622193</v>
      </c>
      <c r="L44" s="14">
        <f t="shared" si="30"/>
        <v>5697.8348198503527</v>
      </c>
      <c r="M44" s="14">
        <f t="shared" si="30"/>
        <v>6606.8925939403562</v>
      </c>
      <c r="N44" s="182">
        <f t="shared" si="30"/>
        <v>7372.5876352595351</v>
      </c>
      <c r="O44" s="14">
        <f t="shared" si="30"/>
        <v>7520.2502017280094</v>
      </c>
      <c r="P44" s="14">
        <f t="shared" si="30"/>
        <v>7632.604513946595</v>
      </c>
      <c r="Q44" s="14">
        <f t="shared" si="30"/>
        <v>7832.4304351649625</v>
      </c>
      <c r="R44" s="14">
        <f t="shared" si="30"/>
        <v>7978.3451832357941</v>
      </c>
      <c r="S44" s="14">
        <f t="shared" si="30"/>
        <v>8084.8216126127463</v>
      </c>
      <c r="T44" s="14">
        <f t="shared" si="30"/>
        <v>8263.4331361478726</v>
      </c>
      <c r="U44" s="14">
        <f t="shared" si="30"/>
        <v>8436.4503710821373</v>
      </c>
      <c r="V44" s="14">
        <f t="shared" si="30"/>
        <v>8539.2288736023766</v>
      </c>
      <c r="W44" s="14">
        <f t="shared" si="30"/>
        <v>8704.82589612019</v>
      </c>
      <c r="X44" s="187">
        <f t="shared" si="30"/>
        <v>8854.8841754491204</v>
      </c>
      <c r="Y44" s="14">
        <f t="shared" si="30"/>
        <v>9015.5307022908528</v>
      </c>
      <c r="Z44" s="14">
        <f t="shared" si="30"/>
        <v>9177.7555153099383</v>
      </c>
      <c r="AA44" s="14">
        <f t="shared" si="30"/>
        <v>9338.0179040721923</v>
      </c>
      <c r="AB44" s="14">
        <f t="shared" si="30"/>
        <v>9425.3650452539077</v>
      </c>
      <c r="AC44" s="14">
        <f t="shared" si="30"/>
        <v>9615.6665472306486</v>
      </c>
      <c r="AD44" s="14">
        <f t="shared" si="30"/>
        <v>9744.9837806235246</v>
      </c>
      <c r="AE44" s="14">
        <f t="shared" si="30"/>
        <v>9898.7359156186212</v>
      </c>
      <c r="AF44" s="14">
        <f t="shared" si="30"/>
        <v>10080.551786452757</v>
      </c>
      <c r="AG44" s="14">
        <f t="shared" si="30"/>
        <v>10378.218346814083</v>
      </c>
      <c r="AH44" s="187">
        <f>SUMPRODUCT($B34:$B42*AH34:AH42)</f>
        <v>10626.125770926434</v>
      </c>
      <c r="AI44" s="127"/>
    </row>
    <row r="45" spans="1:36">
      <c r="A45" s="10" t="s">
        <v>117</v>
      </c>
      <c r="B45" s="37"/>
      <c r="C45" s="332">
        <f t="shared" ref="C45:AG45" si="31">C44/C14</f>
        <v>3.8527135661629804E-2</v>
      </c>
      <c r="D45" s="332">
        <f t="shared" si="31"/>
        <v>4.362697330979734E-2</v>
      </c>
      <c r="E45" s="332">
        <f t="shared" si="31"/>
        <v>5.4867271651278547E-2</v>
      </c>
      <c r="F45" s="332">
        <f t="shared" si="31"/>
        <v>6.1954577733034415E-2</v>
      </c>
      <c r="G45" s="332">
        <f t="shared" si="31"/>
        <v>6.6133200959920965E-2</v>
      </c>
      <c r="H45" s="284">
        <f t="shared" si="31"/>
        <v>5.5469829097116438E-2</v>
      </c>
      <c r="I45" s="23">
        <f t="shared" si="31"/>
        <v>6.3623476743124754E-2</v>
      </c>
      <c r="J45" s="23">
        <f t="shared" si="31"/>
        <v>7.1727809015612085E-2</v>
      </c>
      <c r="K45" s="23">
        <f t="shared" si="31"/>
        <v>8.157848190010597E-2</v>
      </c>
      <c r="L45" s="23">
        <f t="shared" si="31"/>
        <v>9.2796130264859195E-2</v>
      </c>
      <c r="M45" s="23">
        <f t="shared" si="31"/>
        <v>0.1055665658730091</v>
      </c>
      <c r="N45" s="178">
        <f t="shared" si="31"/>
        <v>0.12011404385387781</v>
      </c>
      <c r="O45" s="23">
        <f t="shared" si="31"/>
        <v>0.12109318512146458</v>
      </c>
      <c r="P45" s="23">
        <f t="shared" si="31"/>
        <v>0.12208043514421206</v>
      </c>
      <c r="Q45" s="207">
        <f t="shared" si="31"/>
        <v>0.12307354625617724</v>
      </c>
      <c r="R45" s="207">
        <f t="shared" si="31"/>
        <v>0.12407528385006902</v>
      </c>
      <c r="S45" s="207">
        <f t="shared" si="31"/>
        <v>0.12508561990095518</v>
      </c>
      <c r="T45" s="207">
        <f t="shared" si="31"/>
        <v>0.12610208813150581</v>
      </c>
      <c r="U45" s="207">
        <f t="shared" si="31"/>
        <v>0.12712647820801987</v>
      </c>
      <c r="V45" s="207">
        <f t="shared" si="31"/>
        <v>0.12816058558031818</v>
      </c>
      <c r="W45" s="207">
        <f t="shared" si="31"/>
        <v>0.12920107760129829</v>
      </c>
      <c r="X45" s="185">
        <f t="shared" si="31"/>
        <v>0.13025005985099231</v>
      </c>
      <c r="Y45" s="172">
        <f t="shared" si="31"/>
        <v>0.13213750504438021</v>
      </c>
      <c r="Z45" s="172">
        <f t="shared" si="31"/>
        <v>0.13405189324371758</v>
      </c>
      <c r="AA45" s="172">
        <f t="shared" si="31"/>
        <v>0.13599373011620594</v>
      </c>
      <c r="AB45" s="172">
        <f t="shared" si="31"/>
        <v>0.137965727667854</v>
      </c>
      <c r="AC45" s="172">
        <f t="shared" si="31"/>
        <v>0.13996262553562303</v>
      </c>
      <c r="AD45" s="172">
        <f t="shared" si="31"/>
        <v>0.1419901849176054</v>
      </c>
      <c r="AE45" s="172">
        <f t="shared" si="31"/>
        <v>0.14404597752662607</v>
      </c>
      <c r="AF45" s="172">
        <f t="shared" si="31"/>
        <v>0.14613023266901354</v>
      </c>
      <c r="AG45" s="172">
        <f t="shared" si="31"/>
        <v>0.14824015092334408</v>
      </c>
      <c r="AH45" s="185">
        <f>AH44/AH14</f>
        <v>0.15038210698575813</v>
      </c>
      <c r="AI45" s="127"/>
    </row>
    <row r="46" spans="1:36" s="252" customFormat="1">
      <c r="A46" s="10" t="s">
        <v>333</v>
      </c>
      <c r="B46" s="37"/>
      <c r="C46" s="330">
        <f>SUM(EIA_electricity_aeo2014!E50,EIA_electricity_aeo2014!E55)*1000</f>
        <v>776.99999999999989</v>
      </c>
      <c r="D46" s="330">
        <f>SUM(EIA_electricity_aeo2014!F50,EIA_electricity_aeo2014!F55)*1000</f>
        <v>780.99999999999989</v>
      </c>
      <c r="E46" s="330">
        <f>SUM(EIA_electricity_aeo2014!G50,EIA_electricity_aeo2014!G55)*1000</f>
        <v>462.99061599128549</v>
      </c>
      <c r="F46" s="330">
        <f>SUM(EIA_electricity_aeo2014!H50,EIA_electricity_aeo2014!H55)*1000</f>
        <v>243.29966131908174</v>
      </c>
      <c r="G46" s="330">
        <f>SUM(EIA_electricity_aeo2014!I50,EIA_electricity_aeo2014!I55)*1000</f>
        <v>416.6797030617376</v>
      </c>
      <c r="H46" s="286">
        <f>SUM(EIA_electricity_aeo2014!J50,EIA_electricity_aeo2014!J55)*1000</f>
        <v>415.59470306018011</v>
      </c>
      <c r="I46" s="286">
        <f>SUM(EIA_electricity_aeo2014!K50,EIA_electricity_aeo2014!K55)*1000</f>
        <v>424.94165328106612</v>
      </c>
      <c r="J46" s="286">
        <f>SUM(EIA_electricity_aeo2014!L50,EIA_electricity_aeo2014!L55)*1000</f>
        <v>402.73227565582448</v>
      </c>
      <c r="K46" s="286">
        <f>SUM(EIA_electricity_aeo2014!M50,EIA_electricity_aeo2014!M55)*1000</f>
        <v>396.78439182985915</v>
      </c>
      <c r="L46" s="286">
        <f>SUM(EIA_electricity_aeo2014!N50,EIA_electricity_aeo2014!N55)*1000</f>
        <v>405.44123831531476</v>
      </c>
      <c r="M46" s="286">
        <f>SUM(EIA_electricity_aeo2014!O50,EIA_electricity_aeo2014!O55)*1000</f>
        <v>409.38771292331478</v>
      </c>
      <c r="N46" s="286">
        <f>SUM(EIA_electricity_aeo2014!P50,EIA_electricity_aeo2014!P55)*1000</f>
        <v>413.85022509123758</v>
      </c>
      <c r="O46" s="286">
        <f>SUM(EIA_electricity_aeo2014!Q50,EIA_electricity_aeo2014!Q55)*1000</f>
        <v>414.5794905458061</v>
      </c>
      <c r="P46" s="286">
        <f>SUM(EIA_electricity_aeo2014!R50,EIA_electricity_aeo2014!R55)*1000</f>
        <v>414.71457881807271</v>
      </c>
      <c r="Q46" s="286">
        <f>SUM(EIA_electricity_aeo2014!S50,EIA_electricity_aeo2014!S55)*1000</f>
        <v>416.736653509772</v>
      </c>
      <c r="R46" s="286">
        <f>SUM(EIA_electricity_aeo2014!T50,EIA_electricity_aeo2014!T55)*1000</f>
        <v>418.62881118883666</v>
      </c>
      <c r="S46" s="286">
        <f>SUM(EIA_electricity_aeo2014!U50,EIA_electricity_aeo2014!U55)*1000</f>
        <v>419.69844872937159</v>
      </c>
      <c r="T46" s="286">
        <f>SUM(EIA_electricity_aeo2014!V50,EIA_electricity_aeo2014!V55)*1000</f>
        <v>419.75916529155143</v>
      </c>
      <c r="U46" s="286">
        <f>SUM(EIA_electricity_aeo2014!W50,EIA_electricity_aeo2014!W55)*1000</f>
        <v>419.42227653336448</v>
      </c>
      <c r="V46" s="286">
        <f>SUM(EIA_electricity_aeo2014!X50,EIA_electricity_aeo2014!X55)*1000</f>
        <v>418.81712900555277</v>
      </c>
      <c r="W46" s="286">
        <f>SUM(EIA_electricity_aeo2014!Y50,EIA_electricity_aeo2014!Y55)*1000</f>
        <v>419.15603293166293</v>
      </c>
      <c r="X46" s="286">
        <f>SUM(EIA_electricity_aeo2014!Z50,EIA_electricity_aeo2014!Z55)*1000</f>
        <v>419.50495877253115</v>
      </c>
      <c r="Y46" s="286">
        <f>SUM(EIA_electricity_aeo2014!AA50,EIA_electricity_aeo2014!AA55)*1000</f>
        <v>419.4810516832797</v>
      </c>
      <c r="Z46" s="286">
        <f>SUM(EIA_electricity_aeo2014!AB50,EIA_electricity_aeo2014!AB55)*1000</f>
        <v>419.39117646746803</v>
      </c>
      <c r="AA46" s="286">
        <f>SUM(EIA_electricity_aeo2014!AC50,EIA_electricity_aeo2014!AC55)*1000</f>
        <v>419.24146707873916</v>
      </c>
      <c r="AB46" s="286">
        <f>SUM(EIA_electricity_aeo2014!AD50,EIA_electricity_aeo2014!AD55)*1000</f>
        <v>419.10197572082706</v>
      </c>
      <c r="AC46" s="286">
        <f>SUM(EIA_electricity_aeo2014!AE50,EIA_electricity_aeo2014!AE55)*1000</f>
        <v>418.99332996685104</v>
      </c>
      <c r="AD46" s="286">
        <f>SUM(EIA_electricity_aeo2014!AF50,EIA_electricity_aeo2014!AF55)*1000</f>
        <v>418.67998696778619</v>
      </c>
      <c r="AE46" s="286">
        <f>SUM(EIA_electricity_aeo2014!AG50,EIA_electricity_aeo2014!AG55)*1000</f>
        <v>418.469322845166</v>
      </c>
      <c r="AF46" s="286">
        <f>SUM(EIA_electricity_aeo2014!AH50,EIA_electricity_aeo2014!AH55)*1000</f>
        <v>418.36681051282079</v>
      </c>
      <c r="AG46" s="286">
        <f>SUM(EIA_electricity_aeo2014!AI50,EIA_electricity_aeo2014!AI55)*1000</f>
        <v>418.08310357483367</v>
      </c>
      <c r="AH46" s="286">
        <f>SUM(EIA_electricity_aeo2014!AJ50,EIA_electricity_aeo2014!AJ55)*1000</f>
        <v>416.87208426291636</v>
      </c>
      <c r="AI46" s="292"/>
    </row>
    <row r="47" spans="1:36" s="252" customFormat="1">
      <c r="A47" s="10" t="s">
        <v>142</v>
      </c>
      <c r="B47" s="37"/>
      <c r="C47" s="330">
        <f>(C$14-C$43-C$46)*0.7</f>
        <v>29955.800000000003</v>
      </c>
      <c r="D47" s="330">
        <f>(D$14-D$30-D$43-D$46)*EIA_electricity_aeo2014!F60</f>
        <v>40899.474718596466</v>
      </c>
      <c r="E47" s="330">
        <f>(E$14-E$30-E$43-E$46)*EIA_electricity_aeo2014!G60</f>
        <v>43056.575503135151</v>
      </c>
      <c r="F47" s="330">
        <f>(F$14-F$30-F$43-F$46)*EIA_electricity_aeo2014!H60</f>
        <v>39996.225735932116</v>
      </c>
      <c r="G47" s="330">
        <f>(G$14-G$30-G$43-G$46)*EIA_electricity_aeo2014!I60</f>
        <v>41563.324886021517</v>
      </c>
      <c r="H47" s="286">
        <f>(H$14-H$30-H$43-H$46)*EIA_electricity_aeo2014!J60</f>
        <v>40650.459144106331</v>
      </c>
      <c r="I47" s="286">
        <f>(I$14-I$30-I$43-I$46)*EIA_electricity_aeo2014!K60</f>
        <v>42608.158680637287</v>
      </c>
      <c r="J47" s="286">
        <f>(J$14-J$30-J$43-J$46)*EIA_electricity_aeo2014!L60</f>
        <v>39381.93180421018</v>
      </c>
      <c r="K47" s="286">
        <f>(K$14-K$30-K$43-K$46)*EIA_electricity_aeo2014!M60</f>
        <v>39759.761516818529</v>
      </c>
      <c r="L47" s="286">
        <f>(L$14-L$30-L$43-L$46)*EIA_electricity_aeo2014!N60</f>
        <v>38549.451503360186</v>
      </c>
      <c r="M47" s="286">
        <f>(M$14-M$30-M$43-M$46)*EIA_electricity_aeo2014!O60</f>
        <v>39128.581688166829</v>
      </c>
      <c r="N47" s="287">
        <f>(N$14-N$43-N$46)*EIA_electricity_aeo2014!P60 - N30</f>
        <v>37334.100698550334</v>
      </c>
      <c r="O47" s="286">
        <f>(O$14-O$43-O$46)*EIA_electricity_aeo2014!Q60 - O30</f>
        <v>37393.381684527478</v>
      </c>
      <c r="P47" s="286">
        <f>(P$14-P$43-P$46)*EIA_electricity_aeo2014!R60 - P30</f>
        <v>37510.69690201692</v>
      </c>
      <c r="Q47" s="286">
        <f>(Q$14-Q$43-Q$46)*EIA_electricity_aeo2014!S60 - Q30</f>
        <v>37632.612160805482</v>
      </c>
      <c r="R47" s="286">
        <f>(R$14-R$43-R$46)*EIA_electricity_aeo2014!T60 - R30</f>
        <v>37808.075574670664</v>
      </c>
      <c r="S47" s="286">
        <f>(S$14-S$43-S$46)*EIA_electricity_aeo2014!U60 - S30</f>
        <v>37898.911756997259</v>
      </c>
      <c r="T47" s="286">
        <f>(T$14-T$43-T$46)*EIA_electricity_aeo2014!V60 - T30</f>
        <v>37845.062472038779</v>
      </c>
      <c r="U47" s="286">
        <f>(U$14-U$43-U$46)*EIA_electricity_aeo2014!W60 - U30</f>
        <v>37799.930344445638</v>
      </c>
      <c r="V47" s="286">
        <f>(V$14-V$43-V$46)*EIA_electricity_aeo2014!X60 - V30</f>
        <v>37715.354319914455</v>
      </c>
      <c r="W47" s="286">
        <f>(W$14-W$43-W$46)*EIA_electricity_aeo2014!Y60 - W30</f>
        <v>37678.77644258114</v>
      </c>
      <c r="X47" s="287">
        <f>(X$14-X$43-X$46)*EIA_electricity_aeo2014!Z60 - X30</f>
        <v>37660.135341826528</v>
      </c>
      <c r="Y47" s="286">
        <f>(Y$14-Y$43-Y$46)*EIA_electricity_aeo2014!AA60 - Y30</f>
        <v>37585.024722351111</v>
      </c>
      <c r="Z47" s="286">
        <f>(Z$14-Z$43-Z$46)*EIA_electricity_aeo2014!AB60 - Z30</f>
        <v>37492.110947514499</v>
      </c>
      <c r="AA47" s="286">
        <f>(AA$14-AA$43-AA$46)*EIA_electricity_aeo2014!AC60 - AA30</f>
        <v>37415.597275944223</v>
      </c>
      <c r="AB47" s="286">
        <f>(AB$14-AB$43-AB$46)*EIA_electricity_aeo2014!AD60 - AB30</f>
        <v>37378.599402047679</v>
      </c>
      <c r="AC47" s="286">
        <f>(AC$14-AC$43-AC$46)*EIA_electricity_aeo2014!AE60 - AC30</f>
        <v>37274.257990689868</v>
      </c>
      <c r="AD47" s="286">
        <f>(AD$14-AD$43-AD$46)*EIA_electricity_aeo2014!AF60 - AD30</f>
        <v>37208.013127560807</v>
      </c>
      <c r="AE47" s="286">
        <f>(AE$14-AE$43-AE$46)*EIA_electricity_aeo2014!AG60 - AE30</f>
        <v>37119.957459511657</v>
      </c>
      <c r="AF47" s="286">
        <f>(AF$14-AF$43-AF$46)*EIA_electricity_aeo2014!AH60 - AF30</f>
        <v>37011.785863073223</v>
      </c>
      <c r="AG47" s="286">
        <f>(AG$14-AG$43-AG$46)*EIA_electricity_aeo2014!AI60 - AG30</f>
        <v>36836.914738434323</v>
      </c>
      <c r="AH47" s="287">
        <f>(AH$14-AH$43-AH$46)*EIA_electricity_aeo2014!AJ60 - AH30</f>
        <v>36695.667641644395</v>
      </c>
      <c r="AI47" s="292"/>
      <c r="AJ47" s="398"/>
    </row>
    <row r="48" spans="1:36" s="252" customFormat="1">
      <c r="A48" s="10" t="s">
        <v>222</v>
      </c>
      <c r="B48" s="37"/>
      <c r="C48" s="330">
        <f>(C$14-C$43-C$46)* 0.3</f>
        <v>12838.200000000003</v>
      </c>
      <c r="D48" s="330">
        <f t="shared" ref="D48:AH48" si="32">(D$14-SUM(D30:D42,D46:D47))</f>
        <v>5596.9631439200602</v>
      </c>
      <c r="E48" s="330">
        <f t="shared" si="32"/>
        <v>3038.6457548111866</v>
      </c>
      <c r="F48" s="330">
        <f>(F$14-SUM(F30:F42,F46:F47))</f>
        <v>5793.0634815508456</v>
      </c>
      <c r="G48" s="330">
        <f t="shared" si="32"/>
        <v>1826.1763346137159</v>
      </c>
      <c r="H48" s="286">
        <f t="shared" si="32"/>
        <v>2752.5559967328154</v>
      </c>
      <c r="I48" s="286">
        <f t="shared" si="32"/>
        <v>2663.8808389335318</v>
      </c>
      <c r="J48" s="286">
        <f t="shared" si="32"/>
        <v>6833.8272230377916</v>
      </c>
      <c r="K48" s="286">
        <f t="shared" si="32"/>
        <v>8043.778329199471</v>
      </c>
      <c r="L48" s="286">
        <f t="shared" si="32"/>
        <v>9042.1680020212734</v>
      </c>
      <c r="M48" s="286">
        <f t="shared" si="32"/>
        <v>9816.4844392510713</v>
      </c>
      <c r="N48" s="287">
        <f t="shared" si="32"/>
        <v>10971.001219743375</v>
      </c>
      <c r="O48" s="286">
        <f t="shared" si="32"/>
        <v>11465.006475808579</v>
      </c>
      <c r="P48" s="286">
        <f t="shared" si="32"/>
        <v>11658.714397738971</v>
      </c>
      <c r="Q48" s="286">
        <f t="shared" si="32"/>
        <v>12401.020959894493</v>
      </c>
      <c r="R48" s="286">
        <f t="shared" si="32"/>
        <v>12726.536558174863</v>
      </c>
      <c r="S48" s="286">
        <f t="shared" si="32"/>
        <v>12874.825270783011</v>
      </c>
      <c r="T48" s="286">
        <f t="shared" si="32"/>
        <v>13614.341020033651</v>
      </c>
      <c r="U48" s="286">
        <f t="shared" si="32"/>
        <v>14294.940324851683</v>
      </c>
      <c r="V48" s="286">
        <f t="shared" si="32"/>
        <v>14565.946631953062</v>
      </c>
      <c r="W48" s="286">
        <f t="shared" si="32"/>
        <v>15165.775955571582</v>
      </c>
      <c r="X48" s="287">
        <f t="shared" si="32"/>
        <v>15639.327862071659</v>
      </c>
      <c r="Y48" s="286">
        <f t="shared" si="32"/>
        <v>15798.326274533203</v>
      </c>
      <c r="Z48" s="286">
        <f t="shared" si="32"/>
        <v>15965.576746836166</v>
      </c>
      <c r="AA48" s="286">
        <f t="shared" si="32"/>
        <v>16086.397970496459</v>
      </c>
      <c r="AB48" s="286">
        <f t="shared" si="32"/>
        <v>15734.592994941973</v>
      </c>
      <c r="AC48" s="286">
        <f t="shared" si="32"/>
        <v>16022.941566095178</v>
      </c>
      <c r="AD48" s="286">
        <f t="shared" si="32"/>
        <v>15914.811093300894</v>
      </c>
      <c r="AE48" s="286">
        <f t="shared" si="32"/>
        <v>15949.813706207831</v>
      </c>
      <c r="AF48" s="286">
        <f t="shared" si="32"/>
        <v>16139.361072436921</v>
      </c>
      <c r="AG48" s="286">
        <f t="shared" si="32"/>
        <v>16983.477566779344</v>
      </c>
      <c r="AH48" s="287">
        <f t="shared" si="32"/>
        <v>17499.189794432736</v>
      </c>
      <c r="AI48" s="292"/>
    </row>
    <row r="49" spans="1:35" s="252" customFormat="1">
      <c r="A49" s="10" t="s">
        <v>334</v>
      </c>
      <c r="B49" s="37"/>
      <c r="C49" s="330">
        <f>SUM(C43,C46:C48)</f>
        <v>59958.000000000007</v>
      </c>
      <c r="D49" s="330">
        <f t="shared" ref="D49:M49" si="33">SUM(D43,D46:D48)+D30</f>
        <v>64314.000000000007</v>
      </c>
      <c r="E49" s="330">
        <f t="shared" si="33"/>
        <v>63140.544554195854</v>
      </c>
      <c r="F49" s="330">
        <f t="shared" si="33"/>
        <v>61888.551296385172</v>
      </c>
      <c r="G49" s="330">
        <f t="shared" si="33"/>
        <v>58165.443553990699</v>
      </c>
      <c r="H49" s="286">
        <f>SUM(H43,H46:H48)+H30</f>
        <v>59189.965898523005</v>
      </c>
      <c r="I49" s="286">
        <f t="shared" si="33"/>
        <v>60781.083812904719</v>
      </c>
      <c r="J49" s="286">
        <f t="shared" si="33"/>
        <v>61066.717401996328</v>
      </c>
      <c r="K49" s="286">
        <f t="shared" si="33"/>
        <v>62336.344629325758</v>
      </c>
      <c r="L49" s="286">
        <f t="shared" si="33"/>
        <v>61401.642542502181</v>
      </c>
      <c r="M49" s="286">
        <f t="shared" si="33"/>
        <v>62585.085905779037</v>
      </c>
      <c r="N49" s="287">
        <f t="shared" ref="N49:AH49" si="34">SUM(N43,N46:N48)+N30</f>
        <v>61379.896960496146</v>
      </c>
      <c r="O49" s="286">
        <f t="shared" si="34"/>
        <v>62103.001041592011</v>
      </c>
      <c r="P49" s="286">
        <f t="shared" si="34"/>
        <v>62521.111633738008</v>
      </c>
      <c r="Q49" s="286">
        <f t="shared" si="34"/>
        <v>63640.243361979519</v>
      </c>
      <c r="R49" s="286">
        <f t="shared" si="34"/>
        <v>64302.453604512593</v>
      </c>
      <c r="S49" s="286">
        <f t="shared" si="34"/>
        <v>64634.301041274288</v>
      </c>
      <c r="T49" s="286">
        <f t="shared" si="34"/>
        <v>65529.708973021414</v>
      </c>
      <c r="U49" s="286">
        <f t="shared" si="34"/>
        <v>66362.653083784695</v>
      </c>
      <c r="V49" s="286">
        <f t="shared" si="34"/>
        <v>66629.134339050332</v>
      </c>
      <c r="W49" s="286">
        <f t="shared" si="34"/>
        <v>67374.25149798223</v>
      </c>
      <c r="X49" s="287">
        <f t="shared" si="34"/>
        <v>67983.724426531699</v>
      </c>
      <c r="Y49" s="286">
        <f t="shared" si="34"/>
        <v>68228.401158799403</v>
      </c>
      <c r="Z49" s="286">
        <f t="shared" si="34"/>
        <v>68464.199148787928</v>
      </c>
      <c r="AA49" s="286">
        <f t="shared" si="34"/>
        <v>68665.061956113001</v>
      </c>
      <c r="AB49" s="286">
        <f t="shared" si="34"/>
        <v>68316.713176369638</v>
      </c>
      <c r="AC49" s="286">
        <f t="shared" si="34"/>
        <v>68701.673110463962</v>
      </c>
      <c r="AD49" s="286">
        <f t="shared" si="34"/>
        <v>68631.390164597513</v>
      </c>
      <c r="AE49" s="286">
        <f t="shared" si="34"/>
        <v>68719.280368581603</v>
      </c>
      <c r="AF49" s="286">
        <f t="shared" si="34"/>
        <v>68983.341792696039</v>
      </c>
      <c r="AG49" s="286">
        <f t="shared" si="34"/>
        <v>70009.496632128532</v>
      </c>
      <c r="AH49" s="287">
        <f t="shared" si="34"/>
        <v>70660.838472842894</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332"/>
      <c r="D51" s="332">
        <f>D44/C44-1</f>
        <v>0.21463766886130631</v>
      </c>
      <c r="E51" s="332">
        <f t="shared" ref="E51:X51" si="36">E44/D44-1</f>
        <v>0.2346989605293035</v>
      </c>
      <c r="F51" s="332">
        <f t="shared" si="36"/>
        <v>0.10678185367676152</v>
      </c>
      <c r="G51" s="332">
        <f>G44/F44-1</f>
        <v>3.230830412096708E-3</v>
      </c>
      <c r="H51" s="284"/>
      <c r="I51" s="164">
        <f t="shared" ref="I51:N51" si="37">I44/H44-1</f>
        <v>0.17782541168586663</v>
      </c>
      <c r="J51" s="172">
        <f t="shared" si="37"/>
        <v>0.13267757669800795</v>
      </c>
      <c r="K51" s="172">
        <f t="shared" si="37"/>
        <v>0.16098019313170586</v>
      </c>
      <c r="L51" s="172">
        <f t="shared" si="37"/>
        <v>0.12045109086444872</v>
      </c>
      <c r="M51" s="172">
        <f t="shared" si="37"/>
        <v>0.15954442394907464</v>
      </c>
      <c r="N51" s="172">
        <f t="shared" si="37"/>
        <v>0.1158933689979238</v>
      </c>
      <c r="O51" s="172">
        <f t="shared" ref="O51:R51" si="38">O44/N44-1</f>
        <v>2.0028594270249833E-2</v>
      </c>
      <c r="P51" s="172">
        <f t="shared" si="38"/>
        <v>1.4940235923635692E-2</v>
      </c>
      <c r="Q51" s="172">
        <f t="shared" si="38"/>
        <v>2.6180567963823842E-2</v>
      </c>
      <c r="R51" s="172">
        <f t="shared" si="38"/>
        <v>1.8629561957642649E-2</v>
      </c>
      <c r="S51" s="164">
        <f t="shared" si="36"/>
        <v>1.3345678449797171E-2</v>
      </c>
      <c r="T51" s="164">
        <f t="shared" si="36"/>
        <v>2.2092203402049426E-2</v>
      </c>
      <c r="U51" s="164">
        <f t="shared" si="36"/>
        <v>2.0937694065365164E-2</v>
      </c>
      <c r="V51" s="164">
        <f t="shared" si="36"/>
        <v>1.2182671384227683E-2</v>
      </c>
      <c r="W51" s="164">
        <f t="shared" si="36"/>
        <v>1.9392503113452086E-2</v>
      </c>
      <c r="X51" s="185">
        <f t="shared" si="36"/>
        <v>1.7238515866907056E-2</v>
      </c>
      <c r="Y51" s="172">
        <f t="shared" ref="Y51:AH51" si="39">Y44/X44-1</f>
        <v>1.8142137565970495E-2</v>
      </c>
      <c r="Z51" s="172">
        <f t="shared" si="39"/>
        <v>1.7993928297295181E-2</v>
      </c>
      <c r="AA51" s="172">
        <f t="shared" si="39"/>
        <v>1.746204597571932E-2</v>
      </c>
      <c r="AB51" s="172">
        <f t="shared" si="39"/>
        <v>9.3539273622107455E-3</v>
      </c>
      <c r="AC51" s="172">
        <f t="shared" si="39"/>
        <v>2.01903587885508E-2</v>
      </c>
      <c r="AD51" s="172">
        <f t="shared" si="39"/>
        <v>1.3448597947702368E-2</v>
      </c>
      <c r="AE51" s="172">
        <f t="shared" si="39"/>
        <v>1.577756704950195E-2</v>
      </c>
      <c r="AF51" s="172">
        <f t="shared" si="39"/>
        <v>1.8367584748600008E-2</v>
      </c>
      <c r="AG51" s="172">
        <f t="shared" si="39"/>
        <v>2.9528796306702132E-2</v>
      </c>
      <c r="AH51" s="185">
        <f t="shared" si="39"/>
        <v>2.3887281595732945E-2</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542</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2.3249441275559557E-2</v>
      </c>
      <c r="D56" s="336">
        <f t="shared" si="40"/>
        <v>2.429248291510477E-2</v>
      </c>
      <c r="E56" s="336">
        <f t="shared" si="40"/>
        <v>2.5335524554649984E-2</v>
      </c>
      <c r="F56" s="336">
        <f t="shared" si="40"/>
        <v>2.6378566194195197E-2</v>
      </c>
      <c r="G56" s="336">
        <f t="shared" si="40"/>
        <v>2.7421607833740411E-2</v>
      </c>
      <c r="H56" s="396">
        <f t="shared" si="40"/>
        <v>3.3898312518178354E-2</v>
      </c>
      <c r="I56" s="173">
        <f t="shared" si="40"/>
        <v>3.4035743650241444E-2</v>
      </c>
      <c r="J56" s="173">
        <f t="shared" si="40"/>
        <v>3.4173174782304534E-2</v>
      </c>
      <c r="K56" s="173">
        <f t="shared" si="40"/>
        <v>3.4310605914367624E-2</v>
      </c>
      <c r="L56" s="173">
        <f t="shared" si="40"/>
        <v>3.4448037046430714E-2</v>
      </c>
      <c r="M56" s="173">
        <f t="shared" si="40"/>
        <v>3.4585468178493804E-2</v>
      </c>
      <c r="N56" s="178">
        <f>N26</f>
        <v>3.4722899310556901E-2</v>
      </c>
      <c r="O56" s="116">
        <f t="shared" ref="O56:AH56" si="41">O31/O$49</f>
        <v>3.4457642160766612E-2</v>
      </c>
      <c r="P56" s="116">
        <f t="shared" si="41"/>
        <v>3.4192385010976309E-2</v>
      </c>
      <c r="Q56" s="116">
        <f t="shared" si="41"/>
        <v>3.3927127861186013E-2</v>
      </c>
      <c r="R56" s="116">
        <f t="shared" si="41"/>
        <v>3.3661870711395717E-2</v>
      </c>
      <c r="S56" s="116">
        <f t="shared" si="41"/>
        <v>3.339661356160542E-2</v>
      </c>
      <c r="T56" s="116">
        <f t="shared" si="41"/>
        <v>3.3131356411815124E-2</v>
      </c>
      <c r="U56" s="116">
        <f t="shared" si="41"/>
        <v>3.2866099262024828E-2</v>
      </c>
      <c r="V56" s="116">
        <f t="shared" si="41"/>
        <v>3.2600842112234532E-2</v>
      </c>
      <c r="W56" s="116">
        <f t="shared" si="41"/>
        <v>3.2335584962444236E-2</v>
      </c>
      <c r="X56" s="178">
        <f t="shared" si="41"/>
        <v>3.2070327812653933E-2</v>
      </c>
      <c r="Y56" s="173">
        <f t="shared" si="41"/>
        <v>3.195630148941609E-2</v>
      </c>
      <c r="Z56" s="173">
        <f t="shared" si="41"/>
        <v>3.1842275166178248E-2</v>
      </c>
      <c r="AA56" s="173">
        <f t="shared" si="41"/>
        <v>3.1728248842940406E-2</v>
      </c>
      <c r="AB56" s="173">
        <f t="shared" si="41"/>
        <v>3.1614222519702563E-2</v>
      </c>
      <c r="AC56" s="173">
        <f t="shared" si="41"/>
        <v>3.1500196196464721E-2</v>
      </c>
      <c r="AD56" s="173">
        <f t="shared" si="41"/>
        <v>3.1386169873226878E-2</v>
      </c>
      <c r="AE56" s="173">
        <f t="shared" si="41"/>
        <v>3.1272143549989036E-2</v>
      </c>
      <c r="AF56" s="173">
        <f t="shared" si="41"/>
        <v>3.1158117226751197E-2</v>
      </c>
      <c r="AG56" s="173">
        <f t="shared" si="41"/>
        <v>3.1044090903513347E-2</v>
      </c>
      <c r="AH56" s="178">
        <f t="shared" si="41"/>
        <v>3.0930064580275488E-2</v>
      </c>
      <c r="AI56" s="127"/>
    </row>
    <row r="57" spans="1:35">
      <c r="A57" s="9" t="s">
        <v>59</v>
      </c>
      <c r="B57" s="37"/>
      <c r="C57" s="336">
        <f t="shared" ref="C57:M57" si="42">C32/C$49</f>
        <v>0.21153140531705525</v>
      </c>
      <c r="D57" s="336">
        <f t="shared" si="42"/>
        <v>0.19697717806131054</v>
      </c>
      <c r="E57" s="336">
        <f t="shared" si="42"/>
        <v>0.18242295080556584</v>
      </c>
      <c r="F57" s="336">
        <f t="shared" si="42"/>
        <v>0.16786872354982113</v>
      </c>
      <c r="G57" s="336">
        <f t="shared" si="42"/>
        <v>0.15331449629407642</v>
      </c>
      <c r="H57" s="396">
        <f t="shared" si="42"/>
        <v>0.17032716013528859</v>
      </c>
      <c r="I57" s="116">
        <f t="shared" si="42"/>
        <v>0.15051178436338442</v>
      </c>
      <c r="J57" s="116">
        <f t="shared" si="42"/>
        <v>0.13069640859148024</v>
      </c>
      <c r="K57" s="116">
        <f t="shared" si="42"/>
        <v>0.11088103281957606</v>
      </c>
      <c r="L57" s="116">
        <f t="shared" si="42"/>
        <v>9.1065657047671889E-2</v>
      </c>
      <c r="M57" s="116">
        <f t="shared" si="42"/>
        <v>7.1250281275767713E-2</v>
      </c>
      <c r="N57" s="178">
        <f>N18</f>
        <v>5.1434905503863544E-2</v>
      </c>
      <c r="O57" s="116">
        <f t="shared" ref="O57:AH57" si="43">O32/O$49</f>
        <v>5.1041981044656876E-2</v>
      </c>
      <c r="P57" s="116">
        <f t="shared" si="43"/>
        <v>5.0649056585450207E-2</v>
      </c>
      <c r="Q57" s="116">
        <f t="shared" si="43"/>
        <v>5.0256132126243538E-2</v>
      </c>
      <c r="R57" s="116">
        <f t="shared" si="43"/>
        <v>4.986320766703687E-2</v>
      </c>
      <c r="S57" s="116">
        <f t="shared" si="43"/>
        <v>4.9470283207830201E-2</v>
      </c>
      <c r="T57" s="116">
        <f t="shared" si="43"/>
        <v>4.9077358748623533E-2</v>
      </c>
      <c r="U57" s="116">
        <f t="shared" si="43"/>
        <v>4.8684434289416864E-2</v>
      </c>
      <c r="V57" s="116">
        <f t="shared" si="43"/>
        <v>4.8291509830210196E-2</v>
      </c>
      <c r="W57" s="116">
        <f>W32/W$49</f>
        <v>4.7898585371003527E-2</v>
      </c>
      <c r="X57" s="178">
        <f t="shared" si="43"/>
        <v>4.7505660911796879E-2</v>
      </c>
      <c r="Y57" s="173">
        <f t="shared" si="43"/>
        <v>4.7336754130475528E-2</v>
      </c>
      <c r="Z57" s="173">
        <f t="shared" si="43"/>
        <v>4.7167847349154177E-2</v>
      </c>
      <c r="AA57" s="173">
        <f t="shared" si="43"/>
        <v>4.6998940567832825E-2</v>
      </c>
      <c r="AB57" s="173">
        <f t="shared" si="43"/>
        <v>4.6830033786511474E-2</v>
      </c>
      <c r="AC57" s="173">
        <f t="shared" si="43"/>
        <v>4.6661127005190123E-2</v>
      </c>
      <c r="AD57" s="173">
        <f t="shared" si="43"/>
        <v>4.6492220223868772E-2</v>
      </c>
      <c r="AE57" s="173">
        <f t="shared" si="43"/>
        <v>4.632331344254742E-2</v>
      </c>
      <c r="AF57" s="173">
        <f t="shared" si="43"/>
        <v>4.6154406661226069E-2</v>
      </c>
      <c r="AG57" s="173">
        <f t="shared" si="43"/>
        <v>4.5985499879904718E-2</v>
      </c>
      <c r="AH57" s="178">
        <f t="shared" si="43"/>
        <v>4.5816593098583373E-2</v>
      </c>
      <c r="AI57" s="127"/>
    </row>
    <row r="58" spans="1:35">
      <c r="A58" s="9" t="s">
        <v>121</v>
      </c>
      <c r="B58" s="37"/>
      <c r="C58" s="336">
        <f>C34/C$49</f>
        <v>1.2825644617899194E-2</v>
      </c>
      <c r="D58" s="336">
        <f t="shared" ref="D58:G59" si="44">C58*($N71)</f>
        <v>1.4628172146427053E-2</v>
      </c>
      <c r="E58" s="336">
        <f t="shared" si="44"/>
        <v>1.6684028500748696E-2</v>
      </c>
      <c r="F58" s="336">
        <f t="shared" si="44"/>
        <v>1.9028816739881185E-2</v>
      </c>
      <c r="G58" s="336">
        <f t="shared" si="44"/>
        <v>2.1703143608495592E-2</v>
      </c>
      <c r="H58" s="396">
        <f>H34/H$49</f>
        <v>2.7162361970348225E-2</v>
      </c>
      <c r="I58" s="116">
        <f t="shared" ref="I58:N59" si="45">H58*($N71)</f>
        <v>3.0979784536623148E-2</v>
      </c>
      <c r="J58" s="116">
        <f t="shared" si="45"/>
        <v>3.5333711073554722E-2</v>
      </c>
      <c r="K58" s="116">
        <f t="shared" si="45"/>
        <v>4.0299542327466721E-2</v>
      </c>
      <c r="L58" s="116">
        <f t="shared" si="45"/>
        <v>4.5963275932790246E-2</v>
      </c>
      <c r="M58" s="116">
        <f t="shared" si="45"/>
        <v>5.2422995708165332E-2</v>
      </c>
      <c r="N58" s="178">
        <f t="shared" si="45"/>
        <v>5.9790570259544387E-2</v>
      </c>
      <c r="O58" s="116">
        <f t="shared" ref="O58:W58" si="46">N58*$X71</f>
        <v>6.0271070635389501E-2</v>
      </c>
      <c r="P58" s="116">
        <f t="shared" si="46"/>
        <v>6.0755432499930657E-2</v>
      </c>
      <c r="Q58" s="116">
        <f t="shared" si="46"/>
        <v>6.1243686885599259E-2</v>
      </c>
      <c r="R58" s="116">
        <f t="shared" si="46"/>
        <v>6.173586507421544E-2</v>
      </c>
      <c r="S58" s="116">
        <f t="shared" si="46"/>
        <v>6.2231998598992255E-2</v>
      </c>
      <c r="T58" s="116">
        <f t="shared" si="46"/>
        <v>6.2732119246555987E-2</v>
      </c>
      <c r="U58" s="116">
        <f t="shared" si="46"/>
        <v>6.3236259058982655E-2</v>
      </c>
      <c r="V58" s="116">
        <f t="shared" si="46"/>
        <v>6.3744450335850925E-2</v>
      </c>
      <c r="W58" s="116">
        <f t="shared" si="46"/>
        <v>6.425672563631149E-2</v>
      </c>
      <c r="X58" s="178">
        <f t="shared" ref="X58:X66" si="47">X34/X$49</f>
        <v>6.4773117781173131E-2</v>
      </c>
      <c r="Y58" s="173">
        <f>X58*$AH71</f>
        <v>6.5706690381232322E-2</v>
      </c>
      <c r="Z58" s="173">
        <f t="shared" ref="Z58:AG58" si="48">Y58*$AH71</f>
        <v>6.6653718529355852E-2</v>
      </c>
      <c r="AA58" s="173">
        <f t="shared" si="48"/>
        <v>6.7614396159870513E-2</v>
      </c>
      <c r="AB58" s="173">
        <f t="shared" si="48"/>
        <v>6.8588920002271528E-2</v>
      </c>
      <c r="AC58" s="173">
        <f t="shared" si="48"/>
        <v>6.9577489621509225E-2</v>
      </c>
      <c r="AD58" s="173">
        <f t="shared" si="48"/>
        <v>7.0580307458856309E-2</v>
      </c>
      <c r="AE58" s="173">
        <f t="shared" si="48"/>
        <v>7.1597578873364223E-2</v>
      </c>
      <c r="AF58" s="173">
        <f t="shared" si="48"/>
        <v>7.2629512183916986E-2</v>
      </c>
      <c r="AG58" s="173">
        <f t="shared" si="48"/>
        <v>7.3676318711891134E-2</v>
      </c>
      <c r="AH58" s="178">
        <f t="shared" ref="AH58:AH66" si="49">AH34/AH$49</f>
        <v>7.4738212824430536E-2</v>
      </c>
      <c r="AI58" s="127"/>
    </row>
    <row r="59" spans="1:35">
      <c r="A59" s="9" t="s">
        <v>50</v>
      </c>
      <c r="B59" s="37"/>
      <c r="C59" s="336">
        <f t="shared" ref="C59:C65" si="50">C35/C$49</f>
        <v>0</v>
      </c>
      <c r="D59" s="336">
        <f t="shared" si="44"/>
        <v>0</v>
      </c>
      <c r="E59" s="336">
        <f t="shared" si="44"/>
        <v>0</v>
      </c>
      <c r="F59" s="336">
        <f t="shared" si="44"/>
        <v>0</v>
      </c>
      <c r="G59" s="336">
        <f t="shared" si="44"/>
        <v>0</v>
      </c>
      <c r="H59" s="396">
        <f>H35/H$49</f>
        <v>1.6894755467749874E-12</v>
      </c>
      <c r="I59" s="116">
        <f t="shared" si="45"/>
        <v>1.8434764662291815E-12</v>
      </c>
      <c r="J59" s="116">
        <f t="shared" si="45"/>
        <v>2.0115150456175542E-12</v>
      </c>
      <c r="K59" s="116">
        <f t="shared" si="45"/>
        <v>2.1948708610434557E-12</v>
      </c>
      <c r="L59" s="116">
        <f t="shared" si="45"/>
        <v>2.3949401259281338E-12</v>
      </c>
      <c r="M59" s="116">
        <f t="shared" si="45"/>
        <v>2.6132463228628669E-12</v>
      </c>
      <c r="N59" s="178">
        <f t="shared" si="45"/>
        <v>2.8514518045872926E-12</v>
      </c>
      <c r="O59" s="116">
        <f t="shared" ref="O59:V59" si="51">N59*$X72</f>
        <v>2.8743671850203755E-12</v>
      </c>
      <c r="P59" s="116">
        <f t="shared" si="51"/>
        <v>2.8974667224009992E-12</v>
      </c>
      <c r="Q59" s="116">
        <f t="shared" si="51"/>
        <v>2.9207518966863229E-12</v>
      </c>
      <c r="R59" s="116">
        <f t="shared" si="51"/>
        <v>2.9442241997270196E-12</v>
      </c>
      <c r="S59" s="116">
        <f t="shared" si="51"/>
        <v>2.9678851353628575E-12</v>
      </c>
      <c r="T59" s="116">
        <f t="shared" si="51"/>
        <v>2.9917362195190473E-12</v>
      </c>
      <c r="U59" s="116">
        <f t="shared" si="51"/>
        <v>3.015778980303368E-12</v>
      </c>
      <c r="V59" s="116">
        <f t="shared" si="51"/>
        <v>3.0400149581040687E-12</v>
      </c>
      <c r="W59" s="116">
        <f>V59*$X72</f>
        <v>3.0644457056885609E-12</v>
      </c>
      <c r="X59" s="178">
        <f t="shared" si="47"/>
        <v>3.0890727883029014E-12</v>
      </c>
      <c r="Y59" s="173">
        <f>X59*$AH72</f>
        <v>3.1335954824935811E-12</v>
      </c>
      <c r="Z59" s="173">
        <f t="shared" ref="Z59:AG59" si="52">Y59*$AH72</f>
        <v>3.1787598806627177E-12</v>
      </c>
      <c r="AA59" s="173">
        <f t="shared" si="52"/>
        <v>3.2245752316665055E-12</v>
      </c>
      <c r="AB59" s="173">
        <f t="shared" si="52"/>
        <v>3.2710509176645688E-12</v>
      </c>
      <c r="AC59" s="173">
        <f t="shared" si="52"/>
        <v>3.3181964560412584E-12</v>
      </c>
      <c r="AD59" s="173">
        <f t="shared" si="52"/>
        <v>3.3660215013546402E-12</v>
      </c>
      <c r="AE59" s="173">
        <f t="shared" si="52"/>
        <v>3.4145358473135772E-12</v>
      </c>
      <c r="AF59" s="173">
        <f t="shared" si="52"/>
        <v>3.4637494287833021E-12</v>
      </c>
      <c r="AG59" s="173">
        <f t="shared" si="52"/>
        <v>3.5136723238199013E-12</v>
      </c>
      <c r="AH59" s="178">
        <f t="shared" si="49"/>
        <v>3.5643147557341163E-12</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8.1557089962974068E-3</v>
      </c>
      <c r="D61" s="336">
        <f t="shared" ref="D61:M61" si="56">C61*($N74)</f>
        <v>8.9265463047639593E-3</v>
      </c>
      <c r="E61" s="336">
        <f t="shared" si="56"/>
        <v>9.7702393461157489E-3</v>
      </c>
      <c r="F61" s="336">
        <f t="shared" si="56"/>
        <v>1.0693674084168931E-2</v>
      </c>
      <c r="G61" s="336">
        <f t="shared" si="56"/>
        <v>1.1704387310008838E-2</v>
      </c>
      <c r="H61" s="396">
        <f t="shared" si="53"/>
        <v>6.1294824978421706E-3</v>
      </c>
      <c r="I61" s="116">
        <f t="shared" si="56"/>
        <v>6.7088108913729502E-3</v>
      </c>
      <c r="J61" s="116">
        <f t="shared" si="56"/>
        <v>7.3428945415945036E-3</v>
      </c>
      <c r="K61" s="116">
        <f t="shared" si="56"/>
        <v>8.0369086447664179E-3</v>
      </c>
      <c r="L61" s="116">
        <f t="shared" si="56"/>
        <v>8.7965175311226912E-3</v>
      </c>
      <c r="M61" s="116">
        <f t="shared" si="56"/>
        <v>9.6279208953976812E-3</v>
      </c>
      <c r="N61" s="178">
        <f>M61*($N74)</f>
        <v>1.0537904396832876E-2</v>
      </c>
      <c r="O61" s="116">
        <f t="shared" ref="O61:W61" si="57">N61*$X74</f>
        <v>1.0622591112502557E-2</v>
      </c>
      <c r="P61" s="116">
        <f t="shared" si="57"/>
        <v>1.0707958403696633E-2</v>
      </c>
      <c r="Q61" s="116">
        <f t="shared" si="57"/>
        <v>1.0794011739785843E-2</v>
      </c>
      <c r="R61" s="116">
        <f t="shared" si="57"/>
        <v>1.0880756634094921E-2</v>
      </c>
      <c r="S61" s="116">
        <f t="shared" si="57"/>
        <v>1.0968198644255833E-2</v>
      </c>
      <c r="T61" s="116">
        <f t="shared" si="57"/>
        <v>1.1056343372563848E-2</v>
      </c>
      <c r="U61" s="116">
        <f t="shared" si="57"/>
        <v>1.1145196466336466E-2</v>
      </c>
      <c r="V61" s="116">
        <f t="shared" si="57"/>
        <v>1.1234763618275235E-2</v>
      </c>
      <c r="W61" s="116">
        <f t="shared" si="57"/>
        <v>1.132505056683048E-2</v>
      </c>
      <c r="X61" s="178">
        <f t="shared" si="47"/>
        <v>1.1416063096568953E-2</v>
      </c>
      <c r="Y61" s="173">
        <f t="shared" si="55"/>
        <v>1.1580602400412707E-2</v>
      </c>
      <c r="Z61" s="173">
        <f t="shared" si="55"/>
        <v>1.1747513203282033E-2</v>
      </c>
      <c r="AA61" s="173">
        <f t="shared" si="55"/>
        <v>1.1916829685506475E-2</v>
      </c>
      <c r="AB61" s="173">
        <f t="shared" si="55"/>
        <v>1.2088586520055429E-2</v>
      </c>
      <c r="AC61" s="173">
        <f t="shared" si="55"/>
        <v>1.2262818879638543E-2</v>
      </c>
      <c r="AD61" s="173">
        <f t="shared" si="55"/>
        <v>1.2439562443908451E-2</v>
      </c>
      <c r="AE61" s="173">
        <f t="shared" si="55"/>
        <v>1.2618853406767333E-2</v>
      </c>
      <c r="AF61" s="173">
        <f t="shared" si="55"/>
        <v>1.2800728483778768E-2</v>
      </c>
      <c r="AG61" s="173">
        <f t="shared" si="55"/>
        <v>1.2985224919686421E-2</v>
      </c>
      <c r="AH61" s="178">
        <f t="shared" si="49"/>
        <v>1.31723804960411E-2</v>
      </c>
      <c r="AI61" s="127"/>
    </row>
    <row r="62" spans="1:35">
      <c r="A62" s="9" t="s">
        <v>347</v>
      </c>
      <c r="B62" s="37"/>
      <c r="C62" s="339">
        <f t="shared" si="50"/>
        <v>0</v>
      </c>
      <c r="D62" s="339">
        <f t="shared" ref="D62:N62" si="58">C62*($N75)</f>
        <v>0</v>
      </c>
      <c r="E62" s="339">
        <f t="shared" si="58"/>
        <v>0</v>
      </c>
      <c r="F62" s="339">
        <f t="shared" si="58"/>
        <v>0</v>
      </c>
      <c r="G62" s="339">
        <f t="shared" si="58"/>
        <v>0</v>
      </c>
      <c r="H62" s="396">
        <f t="shared" si="53"/>
        <v>3.3789510935499744E-6</v>
      </c>
      <c r="I62" s="116">
        <f t="shared" si="58"/>
        <v>3.6869529324583625E-6</v>
      </c>
      <c r="J62" s="116">
        <f t="shared" si="58"/>
        <v>4.023030091235107E-6</v>
      </c>
      <c r="K62" s="116">
        <f t="shared" si="58"/>
        <v>4.3897417220869098E-6</v>
      </c>
      <c r="L62" s="116">
        <f t="shared" si="58"/>
        <v>4.7898802518562657E-6</v>
      </c>
      <c r="M62" s="116">
        <f t="shared" si="58"/>
        <v>5.2264926457257312E-6</v>
      </c>
      <c r="N62" s="178">
        <f t="shared" si="58"/>
        <v>5.7029036091745827E-6</v>
      </c>
      <c r="O62" s="116">
        <f t="shared" ref="O62:W62" si="59">N62*$X75</f>
        <v>5.7487343700407479E-6</v>
      </c>
      <c r="P62" s="116">
        <f t="shared" si="59"/>
        <v>5.7949334448019953E-6</v>
      </c>
      <c r="Q62" s="116">
        <f t="shared" si="59"/>
        <v>5.8415037933726432E-6</v>
      </c>
      <c r="R62" s="116">
        <f t="shared" si="59"/>
        <v>5.8884483994540369E-6</v>
      </c>
      <c r="S62" s="116">
        <f t="shared" si="59"/>
        <v>5.9357702707257123E-6</v>
      </c>
      <c r="T62" s="116">
        <f t="shared" si="59"/>
        <v>5.983472439038092E-6</v>
      </c>
      <c r="U62" s="116">
        <f t="shared" si="59"/>
        <v>6.031557960606733E-6</v>
      </c>
      <c r="V62" s="116">
        <f t="shared" si="59"/>
        <v>6.0800299162081345E-6</v>
      </c>
      <c r="W62" s="116">
        <f t="shared" si="59"/>
        <v>6.1288914113771187E-6</v>
      </c>
      <c r="X62" s="178">
        <f t="shared" si="47"/>
        <v>6.1781455766058017E-6</v>
      </c>
      <c r="Y62" s="173">
        <f t="shared" si="55"/>
        <v>6.2671909649871607E-6</v>
      </c>
      <c r="Z62" s="173">
        <f t="shared" si="55"/>
        <v>6.3575197613254331E-6</v>
      </c>
      <c r="AA62" s="173">
        <f t="shared" si="55"/>
        <v>6.4491504633330089E-6</v>
      </c>
      <c r="AB62" s="173">
        <f t="shared" si="55"/>
        <v>6.5421018353291354E-6</v>
      </c>
      <c r="AC62" s="173">
        <f t="shared" si="55"/>
        <v>6.6363929120825139E-6</v>
      </c>
      <c r="AD62" s="173">
        <f t="shared" si="55"/>
        <v>6.7320430027092783E-6</v>
      </c>
      <c r="AE62" s="173">
        <f t="shared" si="55"/>
        <v>6.8290716946271521E-6</v>
      </c>
      <c r="AF62" s="173">
        <f t="shared" si="55"/>
        <v>6.9274988575666021E-6</v>
      </c>
      <c r="AG62" s="173">
        <f t="shared" si="55"/>
        <v>7.0273446476397999E-6</v>
      </c>
      <c r="AH62" s="178">
        <f t="shared" si="49"/>
        <v>7.1286295114682329E-6</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1.6894755467749872E-6</v>
      </c>
      <c r="I63" s="116">
        <f t="shared" si="60"/>
        <v>1.8434764662291813E-6</v>
      </c>
      <c r="J63" s="116">
        <f t="shared" si="60"/>
        <v>2.0115150456175535E-6</v>
      </c>
      <c r="K63" s="116">
        <f t="shared" si="60"/>
        <v>2.1948708610434549E-6</v>
      </c>
      <c r="L63" s="116">
        <f t="shared" si="60"/>
        <v>2.3949401259281329E-6</v>
      </c>
      <c r="M63" s="116">
        <f t="shared" si="60"/>
        <v>2.6132463228628656E-6</v>
      </c>
      <c r="N63" s="178">
        <f t="shared" si="60"/>
        <v>2.8514518045872914E-6</v>
      </c>
      <c r="O63" s="116">
        <f t="shared" ref="O63:W63" si="61">N63*$X76</f>
        <v>2.8743671850203739E-6</v>
      </c>
      <c r="P63" s="116">
        <f t="shared" si="61"/>
        <v>2.8974667224009977E-6</v>
      </c>
      <c r="Q63" s="116">
        <f t="shared" si="61"/>
        <v>2.9207518966863216E-6</v>
      </c>
      <c r="R63" s="116">
        <f t="shared" si="61"/>
        <v>2.9442241997270185E-6</v>
      </c>
      <c r="S63" s="116">
        <f t="shared" si="61"/>
        <v>2.9678851353628562E-6</v>
      </c>
      <c r="T63" s="116">
        <f t="shared" si="61"/>
        <v>2.991736219519046E-6</v>
      </c>
      <c r="U63" s="116">
        <f t="shared" si="61"/>
        <v>3.0157789803033665E-6</v>
      </c>
      <c r="V63" s="116">
        <f t="shared" si="61"/>
        <v>3.0400149581040673E-6</v>
      </c>
      <c r="W63" s="116">
        <f t="shared" si="61"/>
        <v>3.0644457056885594E-6</v>
      </c>
      <c r="X63" s="178">
        <f t="shared" si="47"/>
        <v>3.0890727883029008E-6</v>
      </c>
      <c r="Y63" s="173">
        <f t="shared" si="55"/>
        <v>3.1335954824935804E-6</v>
      </c>
      <c r="Z63" s="173">
        <f t="shared" si="55"/>
        <v>3.1787598806627166E-6</v>
      </c>
      <c r="AA63" s="173">
        <f t="shared" si="55"/>
        <v>3.2245752316665044E-6</v>
      </c>
      <c r="AB63" s="173">
        <f t="shared" si="55"/>
        <v>3.2710509176645677E-6</v>
      </c>
      <c r="AC63" s="173">
        <f t="shared" si="55"/>
        <v>3.318196456041257E-6</v>
      </c>
      <c r="AD63" s="173">
        <f t="shared" si="55"/>
        <v>3.3660215013546391E-6</v>
      </c>
      <c r="AE63" s="173">
        <f t="shared" si="55"/>
        <v>3.414535847313576E-6</v>
      </c>
      <c r="AF63" s="173">
        <f t="shared" si="55"/>
        <v>3.463749428783301E-6</v>
      </c>
      <c r="AG63" s="173">
        <f t="shared" si="55"/>
        <v>3.5136723238198999E-6</v>
      </c>
      <c r="AH63" s="178">
        <f t="shared" si="49"/>
        <v>3.5643147557341164E-6</v>
      </c>
      <c r="AI63" s="127"/>
    </row>
    <row r="64" spans="1:35">
      <c r="A64" s="9" t="s">
        <v>344</v>
      </c>
      <c r="B64" s="37"/>
      <c r="C64" s="336">
        <f t="shared" si="50"/>
        <v>1.6678341505720669E-7</v>
      </c>
      <c r="D64" s="336">
        <f t="shared" ref="D64:N64" si="62">C64*($N77)</f>
        <v>1.8198623898534796E-7</v>
      </c>
      <c r="E64" s="336">
        <f t="shared" si="62"/>
        <v>1.9857484731723699E-7</v>
      </c>
      <c r="F64" s="336">
        <f t="shared" si="62"/>
        <v>2.1667555858571657E-7</v>
      </c>
      <c r="G64" s="336">
        <f t="shared" si="62"/>
        <v>2.3642620564843822E-7</v>
      </c>
      <c r="H64" s="396">
        <f t="shared" si="53"/>
        <v>1.6894755467749873E-7</v>
      </c>
      <c r="I64" s="116">
        <f t="shared" si="62"/>
        <v>1.8434764662291816E-7</v>
      </c>
      <c r="J64" s="116">
        <f t="shared" si="62"/>
        <v>2.011515045617554E-7</v>
      </c>
      <c r="K64" s="116">
        <f t="shared" si="62"/>
        <v>2.1948708610434554E-7</v>
      </c>
      <c r="L64" s="116">
        <f t="shared" si="62"/>
        <v>2.3949401259281335E-7</v>
      </c>
      <c r="M64" s="116">
        <f t="shared" si="62"/>
        <v>2.6132463228628664E-7</v>
      </c>
      <c r="N64" s="178">
        <f t="shared" si="62"/>
        <v>2.8514518045872919E-7</v>
      </c>
      <c r="O64" s="116">
        <f t="shared" ref="O64:W64" si="63">N64*$X77</f>
        <v>2.8743671850203748E-7</v>
      </c>
      <c r="P64" s="116">
        <f t="shared" si="63"/>
        <v>2.8974667224009986E-7</v>
      </c>
      <c r="Q64" s="116">
        <f t="shared" si="63"/>
        <v>2.9207518966863227E-7</v>
      </c>
      <c r="R64" s="116">
        <f t="shared" si="63"/>
        <v>2.9442241997270198E-7</v>
      </c>
      <c r="S64" s="116">
        <f t="shared" si="63"/>
        <v>2.9678851353628573E-7</v>
      </c>
      <c r="T64" s="116">
        <f t="shared" si="63"/>
        <v>2.9917362195190474E-7</v>
      </c>
      <c r="U64" s="116">
        <f t="shared" si="63"/>
        <v>3.0157789803033678E-7</v>
      </c>
      <c r="V64" s="116">
        <f t="shared" si="63"/>
        <v>3.0400149581040686E-7</v>
      </c>
      <c r="W64" s="116">
        <f t="shared" si="63"/>
        <v>3.0644457056885609E-7</v>
      </c>
      <c r="X64" s="178">
        <f t="shared" si="47"/>
        <v>3.0890727883029013E-7</v>
      </c>
      <c r="Y64" s="173">
        <f t="shared" si="55"/>
        <v>3.1335954824935808E-7</v>
      </c>
      <c r="Z64" s="173">
        <f t="shared" si="55"/>
        <v>3.1787598806627174E-7</v>
      </c>
      <c r="AA64" s="173">
        <f t="shared" si="55"/>
        <v>3.2245752316665051E-7</v>
      </c>
      <c r="AB64" s="173">
        <f t="shared" si="55"/>
        <v>3.2710509176645682E-7</v>
      </c>
      <c r="AC64" s="173">
        <f t="shared" si="55"/>
        <v>3.3181964560412576E-7</v>
      </c>
      <c r="AD64" s="173">
        <f t="shared" si="55"/>
        <v>3.3660215013546397E-7</v>
      </c>
      <c r="AE64" s="173">
        <f t="shared" si="55"/>
        <v>3.4145358473135764E-7</v>
      </c>
      <c r="AF64" s="173">
        <f t="shared" si="55"/>
        <v>3.4637494287833016E-7</v>
      </c>
      <c r="AG64" s="173">
        <f t="shared" si="55"/>
        <v>3.5136723238199007E-7</v>
      </c>
      <c r="AH64" s="178">
        <f t="shared" si="49"/>
        <v>3.5643147557341169E-7</v>
      </c>
      <c r="AI64" s="127"/>
    </row>
    <row r="65" spans="1:35">
      <c r="A65" s="9" t="s">
        <v>120</v>
      </c>
      <c r="B65" s="37"/>
      <c r="C65" s="336">
        <f t="shared" si="50"/>
        <v>0</v>
      </c>
      <c r="D65" s="336">
        <v>0</v>
      </c>
      <c r="E65" s="336">
        <v>0</v>
      </c>
      <c r="F65" s="336">
        <v>0</v>
      </c>
      <c r="G65" s="336">
        <v>0</v>
      </c>
      <c r="H65" s="396">
        <f t="shared" si="53"/>
        <v>1.6894755467749872E-5</v>
      </c>
      <c r="I65" s="173">
        <v>0</v>
      </c>
      <c r="J65" s="173">
        <v>0</v>
      </c>
      <c r="K65" s="173">
        <v>0</v>
      </c>
      <c r="L65" s="173">
        <v>0</v>
      </c>
      <c r="M65" s="173">
        <v>0</v>
      </c>
      <c r="N65" s="178">
        <v>0</v>
      </c>
      <c r="O65" s="116">
        <f t="shared" ref="O65:AG65" si="64">O41/O$49</f>
        <v>1.2881825138598681E-4</v>
      </c>
      <c r="P65" s="116">
        <f t="shared" si="64"/>
        <v>1.4395137522064415E-4</v>
      </c>
      <c r="Q65" s="116">
        <f t="shared" si="64"/>
        <v>1.5713327717999085E-4</v>
      </c>
      <c r="R65" s="116">
        <f t="shared" si="64"/>
        <v>1.7106656718971679E-4</v>
      </c>
      <c r="S65" s="116">
        <f t="shared" si="64"/>
        <v>1.8565993298723876E-4</v>
      </c>
      <c r="T65" s="116">
        <f t="shared" si="64"/>
        <v>1.9838330131073984E-4</v>
      </c>
      <c r="U65" s="116">
        <f t="shared" si="64"/>
        <v>2.1096202983814723E-4</v>
      </c>
      <c r="V65" s="116">
        <f t="shared" si="64"/>
        <v>2.2512674296007963E-4</v>
      </c>
      <c r="W65" s="116">
        <f t="shared" si="64"/>
        <v>2.3747944718137875E-4</v>
      </c>
      <c r="X65" s="178">
        <f t="shared" si="47"/>
        <v>2.5005985099229851E-4</v>
      </c>
      <c r="Y65" s="173">
        <f t="shared" si="64"/>
        <v>2.6381975386035472E-4</v>
      </c>
      <c r="Z65" s="173">
        <f t="shared" si="64"/>
        <v>2.7751730446315127E-4</v>
      </c>
      <c r="AA65" s="173">
        <f t="shared" si="64"/>
        <v>2.9126894275261731E-4</v>
      </c>
      <c r="AB65" s="173">
        <f t="shared" si="64"/>
        <v>3.0739183756960635E-4</v>
      </c>
      <c r="AC65" s="173">
        <f t="shared" si="64"/>
        <v>3.2022509793359276E-4</v>
      </c>
      <c r="AD65" s="173">
        <f t="shared" si="64"/>
        <v>3.3512362120072877E-4</v>
      </c>
      <c r="AE65" s="173">
        <f t="shared" si="64"/>
        <v>3.4924696346169508E-4</v>
      </c>
      <c r="AF65" s="173">
        <f t="shared" si="64"/>
        <v>3.6240633391070368E-4</v>
      </c>
      <c r="AG65" s="173">
        <f t="shared" si="64"/>
        <v>3.7137818797097544E-4</v>
      </c>
      <c r="AH65" s="178">
        <f t="shared" si="49"/>
        <v>3.821069857581285E-4</v>
      </c>
      <c r="AI65" s="127"/>
    </row>
    <row r="66" spans="1:35">
      <c r="A66" s="9" t="s">
        <v>53</v>
      </c>
      <c r="B66" s="37"/>
      <c r="C66" s="336">
        <f>C42/C$49</f>
        <v>1.7545615264018145E-2</v>
      </c>
      <c r="D66" s="336">
        <f t="shared" ref="D66:N66" si="65">C66*($N79)</f>
        <v>2.0072072872367345E-2</v>
      </c>
      <c r="E66" s="336">
        <f t="shared" si="65"/>
        <v>2.2962324394508529E-2</v>
      </c>
      <c r="F66" s="336">
        <f t="shared" si="65"/>
        <v>2.6268753852748159E-2</v>
      </c>
      <c r="G66" s="336">
        <f t="shared" si="65"/>
        <v>3.0051288237235123E-2</v>
      </c>
      <c r="H66" s="396">
        <f t="shared" si="53"/>
        <v>2.2155852497573819E-2</v>
      </c>
      <c r="I66" s="116">
        <f t="shared" si="65"/>
        <v>2.5346155104217144E-2</v>
      </c>
      <c r="J66" s="116">
        <f t="shared" si="65"/>
        <v>2.8995841105070631E-2</v>
      </c>
      <c r="K66" s="116">
        <f t="shared" si="65"/>
        <v>3.3171058802943118E-2</v>
      </c>
      <c r="L66" s="116">
        <f t="shared" si="65"/>
        <v>3.7947481437808413E-2</v>
      </c>
      <c r="M66" s="116">
        <f t="shared" si="65"/>
        <v>4.341167871750444E-2</v>
      </c>
      <c r="N66" s="178">
        <f t="shared" si="65"/>
        <v>4.9662685840177016E-2</v>
      </c>
      <c r="O66" s="116">
        <f t="shared" ref="O66:W66" si="66">N66*$X79</f>
        <v>5.0061794581038599E-2</v>
      </c>
      <c r="P66" s="116">
        <f t="shared" si="66"/>
        <v>5.0464110715627231E-2</v>
      </c>
      <c r="Q66" s="116">
        <f t="shared" si="66"/>
        <v>5.0869660019811656E-2</v>
      </c>
      <c r="R66" s="116">
        <f t="shared" si="66"/>
        <v>5.1278468476605575E-2</v>
      </c>
      <c r="S66" s="116">
        <f t="shared" si="66"/>
        <v>5.1690562277832329E-2</v>
      </c>
      <c r="T66" s="116">
        <f t="shared" si="66"/>
        <v>5.2105967825802978E-2</v>
      </c>
      <c r="U66" s="116">
        <f t="shared" si="66"/>
        <v>5.2524711735007876E-2</v>
      </c>
      <c r="V66" s="116">
        <f t="shared" si="66"/>
        <v>5.2946820833821809E-2</v>
      </c>
      <c r="W66" s="116">
        <f t="shared" si="66"/>
        <v>5.3372322166222869E-2</v>
      </c>
      <c r="X66" s="178">
        <f t="shared" si="47"/>
        <v>5.3801242993525102E-2</v>
      </c>
      <c r="Y66" s="173">
        <f t="shared" si="55"/>
        <v>5.4576678359745508E-2</v>
      </c>
      <c r="Z66" s="173">
        <f t="shared" si="55"/>
        <v>5.5363290047807732E-2</v>
      </c>
      <c r="AA66" s="173">
        <f t="shared" si="55"/>
        <v>5.6161239141633595E-2</v>
      </c>
      <c r="AB66" s="173">
        <f t="shared" si="55"/>
        <v>5.6970689046841654E-2</v>
      </c>
      <c r="AC66" s="173">
        <f t="shared" si="55"/>
        <v>5.7791805524209719E-2</v>
      </c>
      <c r="AD66" s="173">
        <f t="shared" si="55"/>
        <v>5.8624756723619692E-2</v>
      </c>
      <c r="AE66" s="173">
        <f t="shared" si="55"/>
        <v>5.9469713218491628E-2</v>
      </c>
      <c r="AF66" s="173">
        <f t="shared" si="55"/>
        <v>6.0326848040714108E-2</v>
      </c>
      <c r="AG66" s="173">
        <f t="shared" si="55"/>
        <v>6.1196336716078055E-2</v>
      </c>
      <c r="AH66" s="178">
        <f t="shared" si="49"/>
        <v>6.2078357300221272E-2</v>
      </c>
      <c r="AI66" s="127"/>
    </row>
    <row r="67" spans="1:35" s="1" customFormat="1">
      <c r="A67" s="11" t="s">
        <v>541</v>
      </c>
      <c r="B67" s="36"/>
      <c r="C67" s="340">
        <f t="shared" ref="C67:AG67" si="67">SUM(C58:C66)</f>
        <v>3.8527135661629804E-2</v>
      </c>
      <c r="D67" s="340">
        <f t="shared" si="67"/>
        <v>4.362697330979734E-2</v>
      </c>
      <c r="E67" s="340">
        <f t="shared" si="67"/>
        <v>4.9416790816220288E-2</v>
      </c>
      <c r="F67" s="340">
        <f t="shared" si="67"/>
        <v>5.5991461352356858E-2</v>
      </c>
      <c r="G67" s="340">
        <f t="shared" si="67"/>
        <v>6.3459055581945201E-2</v>
      </c>
      <c r="H67" s="403">
        <f t="shared" si="67"/>
        <v>5.5469829097116438E-2</v>
      </c>
      <c r="I67" s="85">
        <f t="shared" si="67"/>
        <v>6.3040465311102023E-2</v>
      </c>
      <c r="J67" s="85">
        <f t="shared" si="67"/>
        <v>7.1678682418872791E-2</v>
      </c>
      <c r="K67" s="85">
        <f t="shared" si="67"/>
        <v>8.1514313877040362E-2</v>
      </c>
      <c r="L67" s="85">
        <f t="shared" si="67"/>
        <v>9.2714699218506669E-2</v>
      </c>
      <c r="M67" s="85">
        <f t="shared" si="67"/>
        <v>0.10547069638728157</v>
      </c>
      <c r="N67" s="183">
        <f>SUM(N58:N66)</f>
        <v>0.11999999999999994</v>
      </c>
      <c r="O67" s="85">
        <f t="shared" si="67"/>
        <v>0.12109318512146455</v>
      </c>
      <c r="P67" s="85">
        <f t="shared" si="67"/>
        <v>0.12208043514421207</v>
      </c>
      <c r="Q67" s="85">
        <f t="shared" si="67"/>
        <v>0.12307354625617725</v>
      </c>
      <c r="R67" s="85">
        <f t="shared" si="67"/>
        <v>0.12407528385006902</v>
      </c>
      <c r="S67" s="85">
        <f t="shared" si="67"/>
        <v>0.12508561990095515</v>
      </c>
      <c r="T67" s="85">
        <f t="shared" si="67"/>
        <v>0.12610208813150578</v>
      </c>
      <c r="U67" s="85">
        <f t="shared" si="67"/>
        <v>0.12712647820801987</v>
      </c>
      <c r="V67" s="85">
        <f t="shared" si="67"/>
        <v>0.12816058558031818</v>
      </c>
      <c r="W67" s="85">
        <f t="shared" si="67"/>
        <v>0.12920107760129829</v>
      </c>
      <c r="X67" s="183">
        <f t="shared" si="67"/>
        <v>0.13025005985099228</v>
      </c>
      <c r="Y67" s="85">
        <f t="shared" si="67"/>
        <v>0.13213750504438024</v>
      </c>
      <c r="Z67" s="85">
        <f t="shared" si="67"/>
        <v>0.13405189324371758</v>
      </c>
      <c r="AA67" s="85">
        <f t="shared" si="67"/>
        <v>0.13599373011620594</v>
      </c>
      <c r="AB67" s="85">
        <f t="shared" si="67"/>
        <v>0.137965727667854</v>
      </c>
      <c r="AC67" s="85">
        <f t="shared" si="67"/>
        <v>0.139962625535623</v>
      </c>
      <c r="AD67" s="85">
        <f t="shared" si="67"/>
        <v>0.1419901849176054</v>
      </c>
      <c r="AE67" s="85">
        <f t="shared" si="67"/>
        <v>0.14404597752662607</v>
      </c>
      <c r="AF67" s="85">
        <f t="shared" si="67"/>
        <v>0.14613023266901354</v>
      </c>
      <c r="AG67" s="85">
        <f t="shared" si="67"/>
        <v>0.14824015092334411</v>
      </c>
      <c r="AH67" s="183">
        <f>SUM(AH58:AH66)</f>
        <v>0.15038210698575813</v>
      </c>
      <c r="AI67" s="196"/>
    </row>
    <row r="68" spans="1:35" s="252" customFormat="1">
      <c r="A68" s="10" t="s">
        <v>549</v>
      </c>
      <c r="B68" s="37"/>
      <c r="C68" s="332"/>
      <c r="D68" s="332">
        <f>D67/C67-1</f>
        <v>0.1323700181855616</v>
      </c>
      <c r="E68" s="332">
        <f t="shared" ref="E68:W68" si="68">E67/D67-1</f>
        <v>0.13271187678570229</v>
      </c>
      <c r="F68" s="332">
        <f t="shared" si="68"/>
        <v>0.13304527525042231</v>
      </c>
      <c r="G68" s="332">
        <f t="shared" si="68"/>
        <v>0.13337023269663262</v>
      </c>
      <c r="H68" s="284"/>
      <c r="I68" s="284">
        <f t="shared" si="68"/>
        <v>0.13648205406818414</v>
      </c>
      <c r="J68" s="284">
        <f t="shared" si="68"/>
        <v>0.13702654422269145</v>
      </c>
      <c r="K68" s="284">
        <f t="shared" si="68"/>
        <v>0.13721836292540268</v>
      </c>
      <c r="L68" s="284">
        <f t="shared" si="68"/>
        <v>0.13740390869708397</v>
      </c>
      <c r="M68" s="284">
        <f t="shared" si="68"/>
        <v>0.13758333119014954</v>
      </c>
      <c r="N68" s="283">
        <f t="shared" si="68"/>
        <v>0.13775678089170573</v>
      </c>
      <c r="O68" s="284">
        <f t="shared" si="68"/>
        <v>9.1098760122050315E-3</v>
      </c>
      <c r="P68" s="284">
        <f t="shared" si="68"/>
        <v>8.1528124126659662E-3</v>
      </c>
      <c r="Q68" s="284">
        <f t="shared" si="68"/>
        <v>8.1348916457582021E-3</v>
      </c>
      <c r="R68" s="284">
        <f t="shared" si="68"/>
        <v>8.1393412667791765E-3</v>
      </c>
      <c r="S68" s="284">
        <f t="shared" si="68"/>
        <v>8.1429275802182843E-3</v>
      </c>
      <c r="T68" s="284">
        <f t="shared" si="68"/>
        <v>8.1261797427671922E-3</v>
      </c>
      <c r="U68" s="284">
        <f t="shared" si="68"/>
        <v>8.1234981251523397E-3</v>
      </c>
      <c r="V68" s="284">
        <f t="shared" si="68"/>
        <v>8.1344766792499357E-3</v>
      </c>
      <c r="W68" s="284">
        <f t="shared" si="68"/>
        <v>8.1186584492314307E-3</v>
      </c>
      <c r="X68" s="284">
        <f>X67/W67-1</f>
        <v>8.1189899431879375E-3</v>
      </c>
      <c r="Y68" s="289">
        <f t="shared" ref="Y68:AG68" si="69">Y67/X67-1</f>
        <v>1.4490935325075727E-2</v>
      </c>
      <c r="Z68" s="289">
        <f t="shared" si="69"/>
        <v>1.4487848841207907E-2</v>
      </c>
      <c r="AA68" s="289">
        <f t="shared" si="69"/>
        <v>1.4485710164181986E-2</v>
      </c>
      <c r="AB68" s="289">
        <f t="shared" si="69"/>
        <v>1.4500650507659474E-2</v>
      </c>
      <c r="AC68" s="289">
        <f t="shared" si="69"/>
        <v>1.4473868992859185E-2</v>
      </c>
      <c r="AD68" s="289">
        <f t="shared" si="69"/>
        <v>1.448643431932739E-2</v>
      </c>
      <c r="AE68" s="289">
        <f t="shared" si="69"/>
        <v>1.4478413491845199E-2</v>
      </c>
      <c r="AF68" s="289">
        <f t="shared" si="69"/>
        <v>1.4469374141337754E-2</v>
      </c>
      <c r="AG68" s="289">
        <f t="shared" si="69"/>
        <v>1.4438615581414682E-2</v>
      </c>
      <c r="AH68" s="283">
        <f>AH67/AG67-1</f>
        <v>1.4449230178682493E-2</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546</v>
      </c>
      <c r="B70" s="37"/>
      <c r="C70" s="332"/>
      <c r="D70" s="332"/>
      <c r="E70" s="332"/>
      <c r="F70" s="332"/>
      <c r="G70" s="332"/>
      <c r="H70" s="284"/>
      <c r="I70" s="164"/>
      <c r="J70" s="164"/>
      <c r="K70" s="164"/>
      <c r="L70" s="164"/>
      <c r="M70" s="164"/>
      <c r="N70" s="199" t="s">
        <v>712</v>
      </c>
      <c r="O70" s="164"/>
      <c r="P70" s="164"/>
      <c r="Q70" s="164"/>
      <c r="R70" s="164"/>
      <c r="S70" s="164"/>
      <c r="T70" s="164"/>
      <c r="U70" s="164"/>
      <c r="V70" s="164"/>
      <c r="W70" s="164"/>
      <c r="X70" s="199" t="s">
        <v>547</v>
      </c>
      <c r="Y70" s="20"/>
      <c r="Z70" s="20"/>
      <c r="AA70" s="20"/>
      <c r="AB70" s="20"/>
      <c r="AC70" s="20"/>
      <c r="AD70" s="20"/>
      <c r="AE70" s="20"/>
      <c r="AF70" s="20"/>
      <c r="AG70" s="20"/>
      <c r="AH70" s="279" t="s">
        <v>709</v>
      </c>
      <c r="AI70" s="127"/>
    </row>
    <row r="71" spans="1:35">
      <c r="A71" s="9" t="s">
        <v>121</v>
      </c>
      <c r="B71" s="37"/>
      <c r="C71" s="332"/>
      <c r="D71" s="332"/>
      <c r="E71" s="332"/>
      <c r="F71" s="332"/>
      <c r="G71" s="332"/>
      <c r="H71" s="284"/>
      <c r="I71" s="164"/>
      <c r="J71" s="164"/>
      <c r="K71" s="395"/>
      <c r="L71" s="395"/>
      <c r="M71" s="164"/>
      <c r="N71" s="186">
        <f>(N86/H86)^(1/6)</f>
        <v>1.1405408914895623</v>
      </c>
      <c r="O71" s="164"/>
      <c r="P71" s="164"/>
      <c r="Q71" s="164"/>
      <c r="R71" s="164"/>
      <c r="S71" s="164"/>
      <c r="T71" s="164"/>
      <c r="U71" s="164"/>
      <c r="V71" s="164"/>
      <c r="W71" s="164"/>
      <c r="X71" s="186">
        <f>(X86/N86)^(1/10)</f>
        <v>1.0080363905839886</v>
      </c>
      <c r="Y71" s="20"/>
      <c r="Z71" s="20"/>
      <c r="AA71" s="20"/>
      <c r="AB71" s="20"/>
      <c r="AC71" s="20"/>
      <c r="AD71" s="20"/>
      <c r="AE71" s="20"/>
      <c r="AF71" s="20"/>
      <c r="AG71" s="20"/>
      <c r="AH71" s="186">
        <f>(AH86/X86)^(1/10)</f>
        <v>1.0144129637732298</v>
      </c>
      <c r="AI71" s="127"/>
    </row>
    <row r="72" spans="1:35">
      <c r="A72" s="9" t="s">
        <v>50</v>
      </c>
      <c r="B72" s="37"/>
      <c r="C72" s="332"/>
      <c r="D72" s="332"/>
      <c r="E72" s="332"/>
      <c r="F72" s="332"/>
      <c r="G72" s="332"/>
      <c r="H72" s="284"/>
      <c r="I72" s="164"/>
      <c r="J72" s="164"/>
      <c r="K72" s="395"/>
      <c r="L72" s="395"/>
      <c r="M72" s="164"/>
      <c r="N72" s="186">
        <f>(N87/H87)^(1/6)</f>
        <v>1.0911530917083494</v>
      </c>
      <c r="O72" s="164"/>
      <c r="P72" s="164"/>
      <c r="Q72" s="164"/>
      <c r="R72" s="164"/>
      <c r="S72" s="164"/>
      <c r="T72" s="164"/>
      <c r="U72" s="164"/>
      <c r="V72" s="164"/>
      <c r="W72" s="164"/>
      <c r="X72" s="186">
        <f>(X87/N87)^(1/10)</f>
        <v>1.0080363905839886</v>
      </c>
      <c r="Y72" s="20"/>
      <c r="Z72" s="20"/>
      <c r="AA72" s="20"/>
      <c r="AB72" s="20"/>
      <c r="AC72" s="20"/>
      <c r="AD72" s="20"/>
      <c r="AE72" s="20"/>
      <c r="AF72" s="20"/>
      <c r="AG72" s="20"/>
      <c r="AH72" s="186">
        <f>(AH87/X87)^(1/10)</f>
        <v>1.0144129637732298</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1.0945150579571321</v>
      </c>
      <c r="O74" s="164"/>
      <c r="P74" s="164"/>
      <c r="Q74" s="164"/>
      <c r="R74" s="164"/>
      <c r="S74" s="164"/>
      <c r="T74" s="164"/>
      <c r="U74" s="164"/>
      <c r="V74" s="164"/>
      <c r="W74" s="164"/>
      <c r="X74" s="186">
        <f>(X89/N89)^(1/10)</f>
        <v>1.0080363905839886</v>
      </c>
      <c r="AH74" s="186">
        <f>(AH89/X89)^(1/10)</f>
        <v>1.0144129637732298</v>
      </c>
      <c r="AI74" s="127"/>
    </row>
    <row r="75" spans="1:35">
      <c r="A75" s="9" t="s">
        <v>347</v>
      </c>
      <c r="B75" s="37"/>
      <c r="C75" s="332"/>
      <c r="D75" s="332"/>
      <c r="E75" s="332"/>
      <c r="F75" s="332"/>
      <c r="G75" s="332"/>
      <c r="H75" s="284"/>
      <c r="I75" s="164"/>
      <c r="J75" s="164"/>
      <c r="K75" s="395"/>
      <c r="L75" s="395"/>
      <c r="M75" s="164"/>
      <c r="N75" s="179">
        <f>(N90/H90)^(1/6)</f>
        <v>1.0911530917083494</v>
      </c>
      <c r="O75" s="164"/>
      <c r="P75" s="164"/>
      <c r="Q75" s="164"/>
      <c r="R75" s="164"/>
      <c r="S75" s="164"/>
      <c r="T75" s="164"/>
      <c r="U75" s="164"/>
      <c r="V75" s="164"/>
      <c r="W75" s="164"/>
      <c r="X75" s="186">
        <f>(X90/N90)^(1/10)</f>
        <v>1.0080363905839886</v>
      </c>
      <c r="AH75" s="186">
        <f>(AH90/X90)^(1/10)</f>
        <v>1.0144129637732298</v>
      </c>
      <c r="AI75" s="127"/>
    </row>
    <row r="76" spans="1:35">
      <c r="A76" s="9" t="s">
        <v>348</v>
      </c>
      <c r="B76" s="37"/>
      <c r="C76" s="332"/>
      <c r="D76" s="332"/>
      <c r="E76" s="332"/>
      <c r="F76" s="332"/>
      <c r="G76" s="332"/>
      <c r="H76" s="284"/>
      <c r="I76" s="164"/>
      <c r="J76" s="164"/>
      <c r="K76" s="395"/>
      <c r="L76" s="395"/>
      <c r="M76" s="164"/>
      <c r="N76" s="179">
        <f>(N91/H91)^(1/6)</f>
        <v>1.0911530917083494</v>
      </c>
      <c r="O76" s="164"/>
      <c r="P76" s="164"/>
      <c r="Q76" s="164"/>
      <c r="R76" s="164"/>
      <c r="S76" s="164"/>
      <c r="T76" s="164"/>
      <c r="U76" s="164"/>
      <c r="V76" s="164"/>
      <c r="W76" s="164"/>
      <c r="X76" s="186">
        <f>(X91/N91)^(1/10)</f>
        <v>1.0080363905839886</v>
      </c>
      <c r="AH76" s="186">
        <f>(AH91/X91)^(1/10)</f>
        <v>1.0144129637732298</v>
      </c>
      <c r="AI76" s="127"/>
    </row>
    <row r="77" spans="1:35">
      <c r="A77" s="9" t="s">
        <v>344</v>
      </c>
      <c r="B77" s="37"/>
      <c r="C77" s="332"/>
      <c r="D77" s="332"/>
      <c r="E77" s="332"/>
      <c r="F77" s="332"/>
      <c r="G77" s="332"/>
      <c r="H77" s="284"/>
      <c r="I77" s="164"/>
      <c r="J77" s="164"/>
      <c r="K77" s="395"/>
      <c r="L77" s="395"/>
      <c r="M77" s="164"/>
      <c r="N77" s="179">
        <f>(N92/H92)^(1/6)</f>
        <v>1.0911530917083494</v>
      </c>
      <c r="O77" s="164"/>
      <c r="P77" s="164"/>
      <c r="Q77" s="164"/>
      <c r="R77" s="164"/>
      <c r="S77" s="164"/>
      <c r="T77" s="164"/>
      <c r="U77" s="164"/>
      <c r="V77" s="164"/>
      <c r="W77" s="164"/>
      <c r="X77" s="186">
        <f>(X92/N92)^(1/10)</f>
        <v>1.0080363905839886</v>
      </c>
      <c r="AH77" s="186">
        <f>(AH92/X92)^(1/10)</f>
        <v>1.0144129637732298</v>
      </c>
      <c r="AI77" s="127"/>
    </row>
    <row r="78" spans="1:35">
      <c r="A78" s="9" t="s">
        <v>120</v>
      </c>
      <c r="B78" s="37"/>
      <c r="C78" s="332"/>
      <c r="D78" s="332"/>
      <c r="E78" s="332"/>
      <c r="F78" s="332"/>
      <c r="G78" s="332"/>
      <c r="H78" s="284"/>
      <c r="I78" s="164"/>
      <c r="J78" s="164"/>
      <c r="K78" s="395"/>
      <c r="L78" s="395"/>
      <c r="M78" s="164"/>
      <c r="N78" s="186">
        <f t="shared" ref="N78:N79" si="70">(N93/H93)^(1/6)</f>
        <v>1.3747381846958471</v>
      </c>
      <c r="O78" s="164"/>
      <c r="P78" s="164"/>
      <c r="Q78" s="164"/>
      <c r="R78" s="164"/>
      <c r="S78" s="164"/>
      <c r="T78" s="164"/>
      <c r="U78" s="164"/>
      <c r="V78" s="164"/>
      <c r="W78" s="164"/>
      <c r="X78" s="186">
        <f t="shared" ref="X78:X79" si="71">(X93/N93)^(1/10)</f>
        <v>1.0816760361836912</v>
      </c>
      <c r="AH78" s="186">
        <f t="shared" ref="AH78:AH79" si="72">(AH93/X93)^(1/10)</f>
        <v>1.0433117558379155</v>
      </c>
      <c r="AI78" s="127"/>
    </row>
    <row r="79" spans="1:35">
      <c r="A79" s="9" t="s">
        <v>53</v>
      </c>
      <c r="B79" s="37"/>
      <c r="C79" s="332"/>
      <c r="D79" s="332"/>
      <c r="E79" s="332"/>
      <c r="F79" s="332"/>
      <c r="G79" s="332"/>
      <c r="H79" s="284"/>
      <c r="I79" s="164"/>
      <c r="J79" s="164"/>
      <c r="K79" s="395"/>
      <c r="L79" s="395"/>
      <c r="M79" s="164"/>
      <c r="N79" s="186">
        <f t="shared" si="70"/>
        <v>1.1439936742218644</v>
      </c>
      <c r="O79" s="164"/>
      <c r="P79" s="164"/>
      <c r="Q79" s="164"/>
      <c r="R79" s="164"/>
      <c r="S79" s="164"/>
      <c r="T79" s="164"/>
      <c r="U79" s="164"/>
      <c r="V79" s="164"/>
      <c r="W79" s="164"/>
      <c r="X79" s="186">
        <f t="shared" si="71"/>
        <v>1.0080363905839886</v>
      </c>
      <c r="AH79" s="186">
        <f t="shared" si="72"/>
        <v>1.0144129637732298</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548</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2.3249441275559557E-2</v>
      </c>
      <c r="D84" s="336">
        <f t="shared" si="73"/>
        <v>2.429248291510477E-2</v>
      </c>
      <c r="E84" s="336">
        <f t="shared" si="73"/>
        <v>2.5335524554649984E-2</v>
      </c>
      <c r="F84" s="336">
        <f t="shared" si="73"/>
        <v>2.6378566194195197E-2</v>
      </c>
      <c r="G84" s="336">
        <f t="shared" si="73"/>
        <v>2.7421607833740411E-2</v>
      </c>
      <c r="H84" s="396">
        <f t="shared" si="73"/>
        <v>3.3898312518178354E-2</v>
      </c>
      <c r="I84" s="116">
        <f t="shared" si="73"/>
        <v>3.4035743650241444E-2</v>
      </c>
      <c r="J84" s="116">
        <f t="shared" si="73"/>
        <v>3.4173174782304534E-2</v>
      </c>
      <c r="K84" s="116">
        <f t="shared" si="73"/>
        <v>3.4310605914367624E-2</v>
      </c>
      <c r="L84" s="116">
        <f t="shared" si="73"/>
        <v>3.4448037046430714E-2</v>
      </c>
      <c r="M84" s="116">
        <f t="shared" si="73"/>
        <v>3.4585468178493804E-2</v>
      </c>
      <c r="N84" s="178">
        <f t="shared" si="73"/>
        <v>3.4722899310556901E-2</v>
      </c>
      <c r="O84" s="116">
        <f t="shared" si="73"/>
        <v>3.4457642160766612E-2</v>
      </c>
      <c r="P84" s="116">
        <f t="shared" si="73"/>
        <v>3.4192385010976309E-2</v>
      </c>
      <c r="Q84" s="116">
        <f t="shared" si="73"/>
        <v>3.3927127861186013E-2</v>
      </c>
      <c r="R84" s="116">
        <f t="shared" si="73"/>
        <v>3.3661870711395717E-2</v>
      </c>
      <c r="S84" s="116">
        <f t="shared" si="73"/>
        <v>3.339661356160542E-2</v>
      </c>
      <c r="T84" s="116">
        <f t="shared" si="73"/>
        <v>3.3131356411815124E-2</v>
      </c>
      <c r="U84" s="116">
        <f t="shared" si="73"/>
        <v>3.2866099262024828E-2</v>
      </c>
      <c r="V84" s="116">
        <f t="shared" si="73"/>
        <v>3.2600842112234532E-2</v>
      </c>
      <c r="W84" s="116">
        <f t="shared" si="73"/>
        <v>3.2335584962444236E-2</v>
      </c>
      <c r="X84" s="178">
        <f t="shared" si="73"/>
        <v>3.2070327812653933E-2</v>
      </c>
      <c r="Y84" s="173">
        <f t="shared" si="73"/>
        <v>3.195630148941609E-2</v>
      </c>
      <c r="Z84" s="173">
        <f t="shared" si="73"/>
        <v>3.1842275166178248E-2</v>
      </c>
      <c r="AA84" s="173">
        <f t="shared" si="73"/>
        <v>3.1728248842940406E-2</v>
      </c>
      <c r="AB84" s="173">
        <f t="shared" si="73"/>
        <v>3.1614222519702563E-2</v>
      </c>
      <c r="AC84" s="173">
        <f t="shared" si="73"/>
        <v>3.1500196196464721E-2</v>
      </c>
      <c r="AD84" s="173">
        <f t="shared" si="73"/>
        <v>3.1386169873226878E-2</v>
      </c>
      <c r="AE84" s="173">
        <f t="shared" si="73"/>
        <v>3.1272143549989036E-2</v>
      </c>
      <c r="AF84" s="173">
        <f t="shared" si="73"/>
        <v>3.1158117226751197E-2</v>
      </c>
      <c r="AG84" s="173">
        <f t="shared" si="73"/>
        <v>3.1044090903513347E-2</v>
      </c>
      <c r="AH84" s="178">
        <f t="shared" si="73"/>
        <v>3.0930064580275488E-2</v>
      </c>
      <c r="AI84" s="127"/>
    </row>
    <row r="85" spans="1:35">
      <c r="A85" s="9" t="s">
        <v>59</v>
      </c>
      <c r="B85" s="37"/>
      <c r="C85" s="336">
        <f t="shared" ref="C85:AH85" si="74">C32/C$49</f>
        <v>0.21153140531705525</v>
      </c>
      <c r="D85" s="336">
        <f t="shared" si="74"/>
        <v>0.19697717806131054</v>
      </c>
      <c r="E85" s="336">
        <f t="shared" si="74"/>
        <v>0.18242295080556584</v>
      </c>
      <c r="F85" s="336">
        <f t="shared" si="74"/>
        <v>0.16786872354982113</v>
      </c>
      <c r="G85" s="336">
        <f t="shared" si="74"/>
        <v>0.15331449629407642</v>
      </c>
      <c r="H85" s="396">
        <f t="shared" si="74"/>
        <v>0.17032716013528859</v>
      </c>
      <c r="I85" s="116">
        <f t="shared" si="74"/>
        <v>0.15051178436338442</v>
      </c>
      <c r="J85" s="116">
        <f t="shared" si="74"/>
        <v>0.13069640859148024</v>
      </c>
      <c r="K85" s="116">
        <f t="shared" si="74"/>
        <v>0.11088103281957606</v>
      </c>
      <c r="L85" s="116">
        <f t="shared" si="74"/>
        <v>9.1065657047671889E-2</v>
      </c>
      <c r="M85" s="116">
        <f t="shared" si="74"/>
        <v>7.1250281275767713E-2</v>
      </c>
      <c r="N85" s="178">
        <f t="shared" si="74"/>
        <v>5.1434905503863544E-2</v>
      </c>
      <c r="O85" s="116">
        <f t="shared" si="74"/>
        <v>5.1041981044656876E-2</v>
      </c>
      <c r="P85" s="116">
        <f t="shared" si="74"/>
        <v>5.0649056585450207E-2</v>
      </c>
      <c r="Q85" s="116">
        <f t="shared" si="74"/>
        <v>5.0256132126243538E-2</v>
      </c>
      <c r="R85" s="116">
        <f t="shared" si="74"/>
        <v>4.986320766703687E-2</v>
      </c>
      <c r="S85" s="116">
        <f t="shared" si="74"/>
        <v>4.9470283207830201E-2</v>
      </c>
      <c r="T85" s="116">
        <f t="shared" si="74"/>
        <v>4.9077358748623533E-2</v>
      </c>
      <c r="U85" s="116">
        <f t="shared" si="74"/>
        <v>4.8684434289416864E-2</v>
      </c>
      <c r="V85" s="116">
        <f t="shared" si="74"/>
        <v>4.8291509830210196E-2</v>
      </c>
      <c r="W85" s="116">
        <f t="shared" si="74"/>
        <v>4.7898585371003527E-2</v>
      </c>
      <c r="X85" s="178">
        <f t="shared" si="74"/>
        <v>4.7505660911796879E-2</v>
      </c>
      <c r="Y85" s="173">
        <f t="shared" si="74"/>
        <v>4.7336754130475528E-2</v>
      </c>
      <c r="Z85" s="173">
        <f t="shared" si="74"/>
        <v>4.7167847349154177E-2</v>
      </c>
      <c r="AA85" s="173">
        <f t="shared" si="74"/>
        <v>4.6998940567832825E-2</v>
      </c>
      <c r="AB85" s="173">
        <f t="shared" si="74"/>
        <v>4.6830033786511474E-2</v>
      </c>
      <c r="AC85" s="173">
        <f t="shared" si="74"/>
        <v>4.6661127005190123E-2</v>
      </c>
      <c r="AD85" s="173">
        <f t="shared" si="74"/>
        <v>4.6492220223868772E-2</v>
      </c>
      <c r="AE85" s="173">
        <f t="shared" si="74"/>
        <v>4.632331344254742E-2</v>
      </c>
      <c r="AF85" s="173">
        <f t="shared" si="74"/>
        <v>4.6154406661226069E-2</v>
      </c>
      <c r="AG85" s="173">
        <f t="shared" si="74"/>
        <v>4.5985499879904718E-2</v>
      </c>
      <c r="AH85" s="178">
        <f t="shared" si="74"/>
        <v>4.5816593098583373E-2</v>
      </c>
      <c r="AI85" s="127"/>
    </row>
    <row r="86" spans="1:35" s="252" customFormat="1">
      <c r="A86" s="10" t="s">
        <v>121</v>
      </c>
      <c r="B86" s="37"/>
      <c r="C86" s="410">
        <f t="shared" ref="C86:AH86" si="75">C34/C$49</f>
        <v>1.2825644617899194E-2</v>
      </c>
      <c r="D86" s="336">
        <f t="shared" si="75"/>
        <v>1.4628172146427053E-2</v>
      </c>
      <c r="E86" s="336">
        <f t="shared" si="75"/>
        <v>1.9195877669068089E-2</v>
      </c>
      <c r="F86" s="336">
        <f t="shared" si="75"/>
        <v>2.1701700319235576E-2</v>
      </c>
      <c r="G86" s="336">
        <f t="shared" si="75"/>
        <v>2.437213128317418E-2</v>
      </c>
      <c r="H86" s="409">
        <f t="shared" si="75"/>
        <v>2.7162361970348225E-2</v>
      </c>
      <c r="I86" s="396">
        <f t="shared" si="75"/>
        <v>3.0979784536623148E-2</v>
      </c>
      <c r="J86" s="396">
        <f t="shared" si="75"/>
        <v>3.5333711073554722E-2</v>
      </c>
      <c r="K86" s="396">
        <f t="shared" si="75"/>
        <v>4.0299542327466721E-2</v>
      </c>
      <c r="L86" s="396">
        <f t="shared" si="75"/>
        <v>4.5963275932790246E-2</v>
      </c>
      <c r="M86" s="396">
        <f t="shared" si="75"/>
        <v>5.2422995708165325E-2</v>
      </c>
      <c r="N86" s="397">
        <f>N34/N$49</f>
        <v>5.9790570259544415E-2</v>
      </c>
      <c r="O86" s="396">
        <f t="shared" si="75"/>
        <v>6.0271070635389501E-2</v>
      </c>
      <c r="P86" s="396">
        <f t="shared" si="75"/>
        <v>6.0755432499930657E-2</v>
      </c>
      <c r="Q86" s="396">
        <f t="shared" si="75"/>
        <v>6.1243686885599259E-2</v>
      </c>
      <c r="R86" s="396">
        <f t="shared" si="75"/>
        <v>6.173586507421544E-2</v>
      </c>
      <c r="S86" s="396">
        <f t="shared" si="75"/>
        <v>6.2231998598992255E-2</v>
      </c>
      <c r="T86" s="396">
        <f t="shared" si="75"/>
        <v>6.2732119246555987E-2</v>
      </c>
      <c r="U86" s="396">
        <f t="shared" si="75"/>
        <v>6.3236259058982655E-2</v>
      </c>
      <c r="V86" s="396">
        <f t="shared" si="75"/>
        <v>6.3744450335850925E-2</v>
      </c>
      <c r="W86" s="396">
        <f t="shared" si="75"/>
        <v>6.425672563631149E-2</v>
      </c>
      <c r="X86" s="397">
        <f t="shared" si="75"/>
        <v>6.4773117781173131E-2</v>
      </c>
      <c r="Y86" s="396">
        <f>Y34/Y$49</f>
        <v>6.5706690381232322E-2</v>
      </c>
      <c r="Z86" s="396">
        <f t="shared" si="75"/>
        <v>6.6653718529355852E-2</v>
      </c>
      <c r="AA86" s="396">
        <f t="shared" si="75"/>
        <v>6.7614396159870513E-2</v>
      </c>
      <c r="AB86" s="396">
        <f t="shared" si="75"/>
        <v>6.8588920002271528E-2</v>
      </c>
      <c r="AC86" s="396">
        <f t="shared" si="75"/>
        <v>6.9577489621509225E-2</v>
      </c>
      <c r="AD86" s="396">
        <f t="shared" si="75"/>
        <v>7.0580307458856309E-2</v>
      </c>
      <c r="AE86" s="396">
        <f t="shared" si="75"/>
        <v>7.1597578873364223E-2</v>
      </c>
      <c r="AF86" s="396">
        <f t="shared" si="75"/>
        <v>7.2629512183916986E-2</v>
      </c>
      <c r="AG86" s="396">
        <f t="shared" si="75"/>
        <v>7.3676318711891134E-2</v>
      </c>
      <c r="AH86" s="397">
        <f t="shared" si="75"/>
        <v>7.4738212824430536E-2</v>
      </c>
      <c r="AI86" s="292"/>
    </row>
    <row r="87" spans="1:35">
      <c r="A87" s="9" t="s">
        <v>50</v>
      </c>
      <c r="B87" s="37"/>
      <c r="C87" s="410">
        <f t="shared" ref="C87:AH87" si="76">C35/C$49</f>
        <v>0</v>
      </c>
      <c r="D87" s="336">
        <f t="shared" si="76"/>
        <v>0</v>
      </c>
      <c r="E87" s="336">
        <f t="shared" si="76"/>
        <v>1.5837684122943591E-12</v>
      </c>
      <c r="F87" s="336">
        <f t="shared" si="76"/>
        <v>1.6158077367346758E-12</v>
      </c>
      <c r="G87" s="336">
        <f t="shared" si="76"/>
        <v>1.719233859313346E-12</v>
      </c>
      <c r="H87" s="409">
        <f t="shared" si="76"/>
        <v>1.6894755467749874E-12</v>
      </c>
      <c r="I87" s="116">
        <f t="shared" si="76"/>
        <v>1.8434764662291815E-12</v>
      </c>
      <c r="J87" s="116">
        <f>J35/J$49</f>
        <v>2.0115150456175538E-12</v>
      </c>
      <c r="K87" s="116">
        <f t="shared" si="76"/>
        <v>2.1948708610434557E-12</v>
      </c>
      <c r="L87" s="116">
        <f t="shared" si="76"/>
        <v>2.3949401259281338E-12</v>
      </c>
      <c r="M87" s="116">
        <f t="shared" si="76"/>
        <v>2.6132463228628669E-12</v>
      </c>
      <c r="N87" s="178">
        <f t="shared" si="76"/>
        <v>2.8514518045872934E-12</v>
      </c>
      <c r="O87" s="116">
        <f t="shared" si="76"/>
        <v>2.8743671850203755E-12</v>
      </c>
      <c r="P87" s="116">
        <f t="shared" si="76"/>
        <v>2.8974667224009992E-12</v>
      </c>
      <c r="Q87" s="116">
        <f t="shared" si="76"/>
        <v>2.9207518966863229E-12</v>
      </c>
      <c r="R87" s="116">
        <f t="shared" si="76"/>
        <v>2.9442241997270196E-12</v>
      </c>
      <c r="S87" s="116">
        <f t="shared" si="76"/>
        <v>2.9678851353628575E-12</v>
      </c>
      <c r="T87" s="116">
        <f t="shared" si="76"/>
        <v>2.9917362195190473E-12</v>
      </c>
      <c r="U87" s="116">
        <f t="shared" si="76"/>
        <v>3.015778980303368E-12</v>
      </c>
      <c r="V87" s="116">
        <f t="shared" si="76"/>
        <v>3.0400149581040687E-12</v>
      </c>
      <c r="W87" s="116">
        <f t="shared" si="76"/>
        <v>3.0644457056885609E-12</v>
      </c>
      <c r="X87" s="178">
        <f t="shared" si="76"/>
        <v>3.0890727883029014E-12</v>
      </c>
      <c r="Y87" s="173">
        <f t="shared" si="76"/>
        <v>3.1335954824935811E-12</v>
      </c>
      <c r="Z87" s="173">
        <f t="shared" si="76"/>
        <v>3.1787598806627177E-12</v>
      </c>
      <c r="AA87" s="173">
        <f t="shared" si="76"/>
        <v>3.2245752316665055E-12</v>
      </c>
      <c r="AB87" s="173">
        <f t="shared" si="76"/>
        <v>3.2710509176645688E-12</v>
      </c>
      <c r="AC87" s="173">
        <f t="shared" si="76"/>
        <v>3.3181964560412584E-12</v>
      </c>
      <c r="AD87" s="173">
        <f t="shared" si="76"/>
        <v>3.3660215013546402E-12</v>
      </c>
      <c r="AE87" s="173">
        <f t="shared" si="76"/>
        <v>3.4145358473135772E-12</v>
      </c>
      <c r="AF87" s="173">
        <f t="shared" si="76"/>
        <v>3.4637494287833021E-12</v>
      </c>
      <c r="AG87" s="173">
        <f t="shared" si="76"/>
        <v>3.5136723238199009E-12</v>
      </c>
      <c r="AH87" s="178">
        <f t="shared" si="76"/>
        <v>3.5643147557341163E-12</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8.1557089962974068E-3</v>
      </c>
      <c r="D89" s="336">
        <f t="shared" si="78"/>
        <v>8.9265463047639593E-3</v>
      </c>
      <c r="E89" s="336">
        <f t="shared" si="78"/>
        <v>1.2704119706033962E-2</v>
      </c>
      <c r="F89" s="336">
        <f t="shared" si="78"/>
        <v>1.397905946066608E-2</v>
      </c>
      <c r="G89" s="336">
        <f t="shared" si="78"/>
        <v>1.1704387310008838E-2</v>
      </c>
      <c r="H89" s="409">
        <f t="shared" si="78"/>
        <v>6.1294824978421706E-3</v>
      </c>
      <c r="I89" s="116">
        <f t="shared" si="78"/>
        <v>6.7088108913729502E-3</v>
      </c>
      <c r="J89" s="116">
        <f t="shared" si="78"/>
        <v>7.3428945415945036E-3</v>
      </c>
      <c r="K89" s="116">
        <f t="shared" si="78"/>
        <v>8.0369086447664179E-3</v>
      </c>
      <c r="L89" s="116">
        <f t="shared" si="78"/>
        <v>8.7965175311226912E-3</v>
      </c>
      <c r="M89" s="116">
        <f t="shared" si="78"/>
        <v>9.6279208953976812E-3</v>
      </c>
      <c r="N89" s="178">
        <f t="shared" si="78"/>
        <v>1.0537904396832878E-2</v>
      </c>
      <c r="O89" s="116">
        <f t="shared" si="78"/>
        <v>1.0622591112502558E-2</v>
      </c>
      <c r="P89" s="116">
        <f t="shared" si="78"/>
        <v>1.0707958403696633E-2</v>
      </c>
      <c r="Q89" s="116">
        <f t="shared" si="78"/>
        <v>1.0794011739785843E-2</v>
      </c>
      <c r="R89" s="116">
        <f t="shared" si="78"/>
        <v>1.0880756634094921E-2</v>
      </c>
      <c r="S89" s="116">
        <f t="shared" si="78"/>
        <v>1.0968198644255833E-2</v>
      </c>
      <c r="T89" s="116">
        <f t="shared" si="78"/>
        <v>1.1056343372563848E-2</v>
      </c>
      <c r="U89" s="116">
        <f t="shared" si="78"/>
        <v>1.1145196466336466E-2</v>
      </c>
      <c r="V89" s="116">
        <f t="shared" si="78"/>
        <v>1.1234763618275235E-2</v>
      </c>
      <c r="W89" s="116">
        <f t="shared" si="78"/>
        <v>1.132505056683048E-2</v>
      </c>
      <c r="X89" s="178">
        <f t="shared" si="78"/>
        <v>1.1416063096568953E-2</v>
      </c>
      <c r="Y89" s="173">
        <f t="shared" si="78"/>
        <v>1.1580602400412707E-2</v>
      </c>
      <c r="Z89" s="173">
        <f t="shared" si="78"/>
        <v>1.1747513203282033E-2</v>
      </c>
      <c r="AA89" s="173">
        <f t="shared" si="78"/>
        <v>1.1916829685506475E-2</v>
      </c>
      <c r="AB89" s="173">
        <f t="shared" si="78"/>
        <v>1.2088586520055429E-2</v>
      </c>
      <c r="AC89" s="173">
        <f t="shared" si="78"/>
        <v>1.2262818879638543E-2</v>
      </c>
      <c r="AD89" s="173">
        <f t="shared" si="78"/>
        <v>1.2439562443908451E-2</v>
      </c>
      <c r="AE89" s="173">
        <f t="shared" si="78"/>
        <v>1.2618853406767333E-2</v>
      </c>
      <c r="AF89" s="173">
        <f t="shared" si="78"/>
        <v>1.2800728483778768E-2</v>
      </c>
      <c r="AG89" s="173">
        <f t="shared" si="78"/>
        <v>1.2985224919686421E-2</v>
      </c>
      <c r="AH89" s="178">
        <f t="shared" si="78"/>
        <v>1.31723804960411E-2</v>
      </c>
      <c r="AI89" s="127"/>
    </row>
    <row r="90" spans="1:35" s="252" customFormat="1">
      <c r="A90" s="10" t="s">
        <v>347</v>
      </c>
      <c r="B90" s="37"/>
      <c r="C90" s="410">
        <f t="shared" ref="C90:AH90" si="79">C38/C$49</f>
        <v>0</v>
      </c>
      <c r="D90" s="336">
        <f t="shared" si="79"/>
        <v>0</v>
      </c>
      <c r="E90" s="336">
        <f t="shared" si="79"/>
        <v>3.1675368245887179E-6</v>
      </c>
      <c r="F90" s="336">
        <f t="shared" si="79"/>
        <v>3.2316154734693514E-6</v>
      </c>
      <c r="G90" s="336">
        <f t="shared" si="79"/>
        <v>3.4384677186266919E-6</v>
      </c>
      <c r="H90" s="409">
        <f t="shared" si="79"/>
        <v>3.3789510935499744E-6</v>
      </c>
      <c r="I90" s="396">
        <f t="shared" si="79"/>
        <v>3.6869529324583625E-6</v>
      </c>
      <c r="J90" s="396">
        <f t="shared" si="79"/>
        <v>4.023030091235107E-6</v>
      </c>
      <c r="K90" s="396">
        <f t="shared" si="79"/>
        <v>4.3897417220869098E-6</v>
      </c>
      <c r="L90" s="396">
        <f t="shared" si="79"/>
        <v>4.7898802518562657E-6</v>
      </c>
      <c r="M90" s="396">
        <f t="shared" si="79"/>
        <v>5.2264926457257312E-6</v>
      </c>
      <c r="N90" s="397">
        <f t="shared" si="79"/>
        <v>5.7029036091745861E-6</v>
      </c>
      <c r="O90" s="396">
        <f t="shared" si="79"/>
        <v>5.7487343700407479E-6</v>
      </c>
      <c r="P90" s="396">
        <f t="shared" si="79"/>
        <v>5.7949334448019953E-6</v>
      </c>
      <c r="Q90" s="396">
        <f t="shared" si="79"/>
        <v>5.8415037933726432E-6</v>
      </c>
      <c r="R90" s="396">
        <f t="shared" si="79"/>
        <v>5.8884483994540369E-6</v>
      </c>
      <c r="S90" s="396">
        <f t="shared" si="79"/>
        <v>5.9357702707257123E-6</v>
      </c>
      <c r="T90" s="396">
        <f t="shared" si="79"/>
        <v>5.983472439038092E-6</v>
      </c>
      <c r="U90" s="396">
        <f t="shared" si="79"/>
        <v>6.031557960606733E-6</v>
      </c>
      <c r="V90" s="396">
        <f t="shared" si="79"/>
        <v>6.0800299162081345E-6</v>
      </c>
      <c r="W90" s="396">
        <f t="shared" si="79"/>
        <v>6.1288914113771187E-6</v>
      </c>
      <c r="X90" s="397">
        <f t="shared" si="79"/>
        <v>6.1781455766058017E-6</v>
      </c>
      <c r="Y90" s="396">
        <f t="shared" si="79"/>
        <v>6.2671909649871607E-6</v>
      </c>
      <c r="Z90" s="396">
        <f t="shared" si="79"/>
        <v>6.3575197613254331E-6</v>
      </c>
      <c r="AA90" s="396">
        <f t="shared" si="79"/>
        <v>6.4491504633330089E-6</v>
      </c>
      <c r="AB90" s="396">
        <f t="shared" si="79"/>
        <v>6.5421018353291354E-6</v>
      </c>
      <c r="AC90" s="396">
        <f t="shared" si="79"/>
        <v>6.6363929120825139E-6</v>
      </c>
      <c r="AD90" s="396">
        <f t="shared" si="79"/>
        <v>6.7320430027092783E-6</v>
      </c>
      <c r="AE90" s="396">
        <f t="shared" si="79"/>
        <v>6.8290716946271521E-6</v>
      </c>
      <c r="AF90" s="396">
        <f t="shared" si="79"/>
        <v>6.9274988575666021E-6</v>
      </c>
      <c r="AG90" s="396">
        <f t="shared" si="79"/>
        <v>7.0273446476397999E-6</v>
      </c>
      <c r="AH90" s="397">
        <f t="shared" si="79"/>
        <v>7.1286295114682329E-6</v>
      </c>
      <c r="AI90" s="292"/>
    </row>
    <row r="91" spans="1:35" s="252" customFormat="1">
      <c r="A91" s="10" t="s">
        <v>348</v>
      </c>
      <c r="B91" s="37"/>
      <c r="C91" s="410">
        <f t="shared" ref="C91:AH91" si="80">C39/C$49</f>
        <v>0</v>
      </c>
      <c r="D91" s="336">
        <f t="shared" si="80"/>
        <v>0</v>
      </c>
      <c r="E91" s="336">
        <f t="shared" si="80"/>
        <v>1.5837684122943589E-6</v>
      </c>
      <c r="F91" s="336">
        <f t="shared" si="80"/>
        <v>1.6158077367346757E-6</v>
      </c>
      <c r="G91" s="336">
        <f t="shared" si="80"/>
        <v>1.719233859313346E-6</v>
      </c>
      <c r="H91" s="409">
        <f t="shared" si="80"/>
        <v>1.6894755467749872E-6</v>
      </c>
      <c r="I91" s="396">
        <f t="shared" si="80"/>
        <v>1.8434764662291813E-6</v>
      </c>
      <c r="J91" s="396">
        <f t="shared" si="80"/>
        <v>2.0115150456175535E-6</v>
      </c>
      <c r="K91" s="396">
        <f t="shared" si="80"/>
        <v>2.1948708610434549E-6</v>
      </c>
      <c r="L91" s="396">
        <f t="shared" si="80"/>
        <v>2.3949401259281329E-6</v>
      </c>
      <c r="M91" s="396">
        <f t="shared" si="80"/>
        <v>2.6132463228628656E-6</v>
      </c>
      <c r="N91" s="397">
        <f t="shared" si="80"/>
        <v>2.8514518045872931E-6</v>
      </c>
      <c r="O91" s="396">
        <f t="shared" si="80"/>
        <v>2.8743671850203739E-6</v>
      </c>
      <c r="P91" s="396">
        <f t="shared" si="80"/>
        <v>2.8974667224009977E-6</v>
      </c>
      <c r="Q91" s="396">
        <f t="shared" si="80"/>
        <v>2.9207518966863216E-6</v>
      </c>
      <c r="R91" s="396">
        <f t="shared" si="80"/>
        <v>2.9442241997270185E-6</v>
      </c>
      <c r="S91" s="396">
        <f t="shared" si="80"/>
        <v>2.9678851353628562E-6</v>
      </c>
      <c r="T91" s="396">
        <f t="shared" si="80"/>
        <v>2.991736219519046E-6</v>
      </c>
      <c r="U91" s="396">
        <f t="shared" si="80"/>
        <v>3.0157789803033665E-6</v>
      </c>
      <c r="V91" s="396">
        <f t="shared" si="80"/>
        <v>3.0400149581040673E-6</v>
      </c>
      <c r="W91" s="396">
        <f t="shared" si="80"/>
        <v>3.0644457056885594E-6</v>
      </c>
      <c r="X91" s="397">
        <f t="shared" si="80"/>
        <v>3.0890727883029008E-6</v>
      </c>
      <c r="Y91" s="396">
        <f t="shared" si="80"/>
        <v>3.1335954824935804E-6</v>
      </c>
      <c r="Z91" s="396">
        <f t="shared" si="80"/>
        <v>3.1787598806627166E-6</v>
      </c>
      <c r="AA91" s="396">
        <f t="shared" si="80"/>
        <v>3.2245752316665044E-6</v>
      </c>
      <c r="AB91" s="396">
        <f t="shared" si="80"/>
        <v>3.2710509176645677E-6</v>
      </c>
      <c r="AC91" s="396">
        <f t="shared" si="80"/>
        <v>3.318196456041257E-6</v>
      </c>
      <c r="AD91" s="396">
        <f t="shared" si="80"/>
        <v>3.3660215013546391E-6</v>
      </c>
      <c r="AE91" s="396">
        <f t="shared" si="80"/>
        <v>3.414535847313576E-6</v>
      </c>
      <c r="AF91" s="396">
        <f t="shared" si="80"/>
        <v>3.463749428783301E-6</v>
      </c>
      <c r="AG91" s="396">
        <f t="shared" si="80"/>
        <v>3.5136723238198999E-6</v>
      </c>
      <c r="AH91" s="397">
        <f t="shared" si="80"/>
        <v>3.5643147557341164E-6</v>
      </c>
      <c r="AI91" s="292"/>
    </row>
    <row r="92" spans="1:35">
      <c r="A92" s="9" t="s">
        <v>344</v>
      </c>
      <c r="B92" s="37"/>
      <c r="C92" s="410">
        <f t="shared" ref="C92:AH92" si="81">C40/C$49</f>
        <v>1.6678341505720669E-7</v>
      </c>
      <c r="D92" s="336">
        <f t="shared" si="81"/>
        <v>1.8198623898534796E-7</v>
      </c>
      <c r="E92" s="336">
        <f t="shared" si="81"/>
        <v>1.9857484731723699E-7</v>
      </c>
      <c r="F92" s="336">
        <f t="shared" si="81"/>
        <v>2.166755585857166E-7</v>
      </c>
      <c r="G92" s="336">
        <f t="shared" si="81"/>
        <v>2.3642620564843822E-7</v>
      </c>
      <c r="H92" s="409">
        <f t="shared" si="81"/>
        <v>1.6894755467749873E-7</v>
      </c>
      <c r="I92" s="116">
        <f t="shared" si="81"/>
        <v>1.8434764662291816E-7</v>
      </c>
      <c r="J92" s="116">
        <f t="shared" si="81"/>
        <v>2.011515045617554E-7</v>
      </c>
      <c r="K92" s="116">
        <f t="shared" si="81"/>
        <v>2.1948708610434554E-7</v>
      </c>
      <c r="L92" s="116">
        <f t="shared" si="81"/>
        <v>2.3949401259281335E-7</v>
      </c>
      <c r="M92" s="116">
        <f t="shared" si="81"/>
        <v>2.6132463228628664E-7</v>
      </c>
      <c r="N92" s="178">
        <f t="shared" si="81"/>
        <v>2.851451804587293E-7</v>
      </c>
      <c r="O92" s="116">
        <f t="shared" si="81"/>
        <v>2.8743671850203748E-7</v>
      </c>
      <c r="P92" s="116">
        <f t="shared" si="81"/>
        <v>2.8974667224009986E-7</v>
      </c>
      <c r="Q92" s="116">
        <f t="shared" si="81"/>
        <v>2.9207518966863227E-7</v>
      </c>
      <c r="R92" s="116">
        <f t="shared" si="81"/>
        <v>2.9442241997270198E-7</v>
      </c>
      <c r="S92" s="116">
        <f t="shared" si="81"/>
        <v>2.9678851353628573E-7</v>
      </c>
      <c r="T92" s="116">
        <f t="shared" si="81"/>
        <v>2.9917362195190474E-7</v>
      </c>
      <c r="U92" s="116">
        <f t="shared" si="81"/>
        <v>3.0157789803033678E-7</v>
      </c>
      <c r="V92" s="116">
        <f t="shared" si="81"/>
        <v>3.0400149581040686E-7</v>
      </c>
      <c r="W92" s="116">
        <f t="shared" si="81"/>
        <v>3.0644457056885609E-7</v>
      </c>
      <c r="X92" s="178">
        <f t="shared" si="81"/>
        <v>3.0890727883029013E-7</v>
      </c>
      <c r="Y92" s="173">
        <f t="shared" si="81"/>
        <v>3.1335954824935808E-7</v>
      </c>
      <c r="Z92" s="173">
        <f t="shared" si="81"/>
        <v>3.1787598806627174E-7</v>
      </c>
      <c r="AA92" s="173">
        <f t="shared" si="81"/>
        <v>3.2245752316665051E-7</v>
      </c>
      <c r="AB92" s="173">
        <f t="shared" si="81"/>
        <v>3.2710509176645682E-7</v>
      </c>
      <c r="AC92" s="173">
        <f t="shared" si="81"/>
        <v>3.3181964560412576E-7</v>
      </c>
      <c r="AD92" s="173">
        <f t="shared" si="81"/>
        <v>3.3660215013546397E-7</v>
      </c>
      <c r="AE92" s="173">
        <f t="shared" si="81"/>
        <v>3.4145358473135764E-7</v>
      </c>
      <c r="AF92" s="173">
        <f t="shared" si="81"/>
        <v>3.4637494287833016E-7</v>
      </c>
      <c r="AG92" s="173">
        <f t="shared" si="81"/>
        <v>3.5136723238199007E-7</v>
      </c>
      <c r="AH92" s="178">
        <f t="shared" si="81"/>
        <v>3.5643147557341169E-7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1.6894755467749872E-5</v>
      </c>
      <c r="I93" s="116">
        <f t="shared" si="82"/>
        <v>3.2904974287006224E-5</v>
      </c>
      <c r="J93" s="116">
        <f t="shared" si="82"/>
        <v>4.9126596739289069E-5</v>
      </c>
      <c r="K93" s="116">
        <f t="shared" si="82"/>
        <v>6.4168023065603761E-5</v>
      </c>
      <c r="L93" s="116">
        <f t="shared" si="82"/>
        <v>8.1431046352530443E-5</v>
      </c>
      <c r="M93" s="116">
        <f t="shared" si="82"/>
        <v>9.5869485727524852E-5</v>
      </c>
      <c r="N93" s="178">
        <f t="shared" si="82"/>
        <v>1.1404385387784491E-4</v>
      </c>
      <c r="O93" s="116">
        <f t="shared" si="82"/>
        <v>1.2881825138598681E-4</v>
      </c>
      <c r="P93" s="116">
        <f t="shared" si="82"/>
        <v>1.4395137522064415E-4</v>
      </c>
      <c r="Q93" s="116">
        <f t="shared" si="82"/>
        <v>1.5713327717999085E-4</v>
      </c>
      <c r="R93" s="116">
        <f t="shared" si="82"/>
        <v>1.7106656718971679E-4</v>
      </c>
      <c r="S93" s="116">
        <f t="shared" si="82"/>
        <v>1.8565993298723876E-4</v>
      </c>
      <c r="T93" s="116">
        <f t="shared" si="82"/>
        <v>1.9838330131073984E-4</v>
      </c>
      <c r="U93" s="116">
        <f t="shared" si="82"/>
        <v>2.1096202983814723E-4</v>
      </c>
      <c r="V93" s="116">
        <f t="shared" si="82"/>
        <v>2.2512674296007963E-4</v>
      </c>
      <c r="W93" s="116">
        <f t="shared" si="82"/>
        <v>2.3747944718137875E-4</v>
      </c>
      <c r="X93" s="178">
        <f t="shared" si="82"/>
        <v>2.5005985099229851E-4</v>
      </c>
      <c r="Y93" s="173">
        <f t="shared" si="82"/>
        <v>2.6381975386035472E-4</v>
      </c>
      <c r="Z93" s="173">
        <f t="shared" si="82"/>
        <v>2.7751730446315127E-4</v>
      </c>
      <c r="AA93" s="173">
        <f t="shared" si="82"/>
        <v>2.9126894275261731E-4</v>
      </c>
      <c r="AB93" s="173">
        <f t="shared" si="82"/>
        <v>3.0739183756960635E-4</v>
      </c>
      <c r="AC93" s="173">
        <f t="shared" si="82"/>
        <v>3.2022509793359276E-4</v>
      </c>
      <c r="AD93" s="173">
        <f t="shared" si="82"/>
        <v>3.3512362120072877E-4</v>
      </c>
      <c r="AE93" s="173">
        <f t="shared" si="82"/>
        <v>3.4924696346169508E-4</v>
      </c>
      <c r="AF93" s="173">
        <f t="shared" si="82"/>
        <v>3.6240633391070368E-4</v>
      </c>
      <c r="AG93" s="173">
        <f t="shared" si="82"/>
        <v>3.7137818797097544E-4</v>
      </c>
      <c r="AH93" s="178">
        <f t="shared" si="82"/>
        <v>3.821069857581285E-4</v>
      </c>
      <c r="AI93" s="127"/>
    </row>
    <row r="94" spans="1:35">
      <c r="A94" s="9" t="s">
        <v>53</v>
      </c>
      <c r="B94" s="37"/>
      <c r="C94" s="410">
        <f t="shared" ref="C94:AH94" si="83">C42/C$49</f>
        <v>1.7545615264018145E-2</v>
      </c>
      <c r="D94" s="336">
        <f t="shared" si="83"/>
        <v>2.0072072872367345E-2</v>
      </c>
      <c r="E94" s="336">
        <f t="shared" si="83"/>
        <v>2.2962324394508529E-2</v>
      </c>
      <c r="F94" s="336">
        <f t="shared" si="83"/>
        <v>2.6268753852748159E-2</v>
      </c>
      <c r="G94" s="336">
        <f t="shared" si="83"/>
        <v>3.0051288237235123E-2</v>
      </c>
      <c r="H94" s="409">
        <f t="shared" si="83"/>
        <v>2.2155852497573819E-2</v>
      </c>
      <c r="I94" s="116">
        <f t="shared" si="83"/>
        <v>2.5896261561952866E-2</v>
      </c>
      <c r="J94" s="116">
        <f t="shared" si="83"/>
        <v>2.8995841105070631E-2</v>
      </c>
      <c r="K94" s="116">
        <f t="shared" si="83"/>
        <v>3.3171058802943118E-2</v>
      </c>
      <c r="L94" s="116">
        <f t="shared" si="83"/>
        <v>3.7947481437808413E-2</v>
      </c>
      <c r="M94" s="116">
        <f t="shared" si="83"/>
        <v>4.341167871750444E-2</v>
      </c>
      <c r="N94" s="178">
        <f t="shared" si="83"/>
        <v>4.9662685840177016E-2</v>
      </c>
      <c r="O94" s="116">
        <f t="shared" si="83"/>
        <v>5.0061794581038599E-2</v>
      </c>
      <c r="P94" s="116">
        <f t="shared" si="83"/>
        <v>5.0464110715627231E-2</v>
      </c>
      <c r="Q94" s="116">
        <f t="shared" si="83"/>
        <v>5.0869660019811656E-2</v>
      </c>
      <c r="R94" s="116">
        <f t="shared" si="83"/>
        <v>5.1278468476605575E-2</v>
      </c>
      <c r="S94" s="116">
        <f t="shared" si="83"/>
        <v>5.1690562277832329E-2</v>
      </c>
      <c r="T94" s="116">
        <f t="shared" si="83"/>
        <v>5.2105967825802978E-2</v>
      </c>
      <c r="U94" s="116">
        <f t="shared" si="83"/>
        <v>5.2524711735007876E-2</v>
      </c>
      <c r="V94" s="116">
        <f t="shared" si="83"/>
        <v>5.2946820833821809E-2</v>
      </c>
      <c r="W94" s="116">
        <f t="shared" si="83"/>
        <v>5.3372322166222869E-2</v>
      </c>
      <c r="X94" s="178">
        <f t="shared" si="83"/>
        <v>5.3801242993525102E-2</v>
      </c>
      <c r="Y94" s="173">
        <f t="shared" si="83"/>
        <v>5.4576678359745508E-2</v>
      </c>
      <c r="Z94" s="173">
        <f t="shared" si="83"/>
        <v>5.5363290047807732E-2</v>
      </c>
      <c r="AA94" s="173">
        <f t="shared" si="83"/>
        <v>5.6161239141633595E-2</v>
      </c>
      <c r="AB94" s="173">
        <f t="shared" si="83"/>
        <v>5.6970689046841654E-2</v>
      </c>
      <c r="AC94" s="173">
        <f t="shared" si="83"/>
        <v>5.7791805524209719E-2</v>
      </c>
      <c r="AD94" s="173">
        <f t="shared" si="83"/>
        <v>5.8624756723619692E-2</v>
      </c>
      <c r="AE94" s="173">
        <f t="shared" si="83"/>
        <v>5.9469713218491628E-2</v>
      </c>
      <c r="AF94" s="173">
        <f t="shared" si="83"/>
        <v>6.0326848040714115E-2</v>
      </c>
      <c r="AG94" s="173">
        <f t="shared" si="83"/>
        <v>6.1196336716078048E-2</v>
      </c>
      <c r="AH94" s="178">
        <f t="shared" si="83"/>
        <v>6.2078357300221272E-2</v>
      </c>
      <c r="AI94" s="127"/>
    </row>
    <row r="95" spans="1:35" s="378" customFormat="1">
      <c r="A95" s="373" t="s">
        <v>541</v>
      </c>
      <c r="B95" s="374"/>
      <c r="C95" s="375">
        <f>SUM(C86:C94)</f>
        <v>3.8527135661629804E-2</v>
      </c>
      <c r="D95" s="375">
        <f>SUM(D86:D94)</f>
        <v>4.362697330979734E-2</v>
      </c>
      <c r="E95" s="375">
        <f>SUM(E86:E94)</f>
        <v>5.4867271651278547E-2</v>
      </c>
      <c r="F95" s="375">
        <f>SUM(F86:F94)</f>
        <v>6.1954577733034422E-2</v>
      </c>
      <c r="G95" s="375">
        <f t="shared" ref="G95:AH95" si="84">SUM(G86:G94)</f>
        <v>6.6133200959920965E-2</v>
      </c>
      <c r="H95" s="375">
        <f t="shared" si="84"/>
        <v>5.5469829097116438E-2</v>
      </c>
      <c r="I95" s="375">
        <f t="shared" si="84"/>
        <v>6.3623476743124754E-2</v>
      </c>
      <c r="J95" s="375">
        <f t="shared" si="84"/>
        <v>7.1727809015612071E-2</v>
      </c>
      <c r="K95" s="375">
        <f t="shared" si="84"/>
        <v>8.1578481900105956E-2</v>
      </c>
      <c r="L95" s="375">
        <f t="shared" si="84"/>
        <v>9.2796130264859195E-2</v>
      </c>
      <c r="M95" s="375">
        <f t="shared" si="84"/>
        <v>0.10556656587300908</v>
      </c>
      <c r="N95" s="376">
        <f t="shared" si="84"/>
        <v>0.12011404385387783</v>
      </c>
      <c r="O95" s="375">
        <f t="shared" si="84"/>
        <v>0.12109318512146457</v>
      </c>
      <c r="P95" s="375">
        <f t="shared" si="84"/>
        <v>0.12208043514421207</v>
      </c>
      <c r="Q95" s="375">
        <f t="shared" si="84"/>
        <v>0.12307354625617725</v>
      </c>
      <c r="R95" s="375">
        <f t="shared" si="84"/>
        <v>0.12407528385006902</v>
      </c>
      <c r="S95" s="375">
        <f t="shared" si="84"/>
        <v>0.12508561990095515</v>
      </c>
      <c r="T95" s="375">
        <f t="shared" si="84"/>
        <v>0.12610208813150578</v>
      </c>
      <c r="U95" s="375">
        <f t="shared" si="84"/>
        <v>0.12712647820801987</v>
      </c>
      <c r="V95" s="375">
        <f t="shared" si="84"/>
        <v>0.12816058558031818</v>
      </c>
      <c r="W95" s="375">
        <f t="shared" si="84"/>
        <v>0.12920107760129829</v>
      </c>
      <c r="X95" s="376">
        <f t="shared" si="84"/>
        <v>0.13025005985099228</v>
      </c>
      <c r="Y95" s="375">
        <f t="shared" si="84"/>
        <v>0.13213750504438024</v>
      </c>
      <c r="Z95" s="375">
        <f t="shared" si="84"/>
        <v>0.13405189324371758</v>
      </c>
      <c r="AA95" s="375">
        <f t="shared" si="84"/>
        <v>0.13599373011620594</v>
      </c>
      <c r="AB95" s="375">
        <f t="shared" si="84"/>
        <v>0.137965727667854</v>
      </c>
      <c r="AC95" s="375">
        <f t="shared" si="84"/>
        <v>0.139962625535623</v>
      </c>
      <c r="AD95" s="375">
        <f t="shared" si="84"/>
        <v>0.1419901849176054</v>
      </c>
      <c r="AE95" s="375">
        <f t="shared" si="84"/>
        <v>0.14404597752662607</v>
      </c>
      <c r="AF95" s="375">
        <f t="shared" si="84"/>
        <v>0.14613023266901354</v>
      </c>
      <c r="AG95" s="375">
        <f t="shared" si="84"/>
        <v>0.14824015092334408</v>
      </c>
      <c r="AH95" s="376">
        <f t="shared" si="84"/>
        <v>0.15038210698575813</v>
      </c>
      <c r="AI95" s="377"/>
    </row>
    <row r="96" spans="1:35">
      <c r="A96" s="10" t="s">
        <v>544</v>
      </c>
      <c r="B96" s="37"/>
      <c r="C96" s="332"/>
      <c r="D96" s="332">
        <f>D95/C95-1</f>
        <v>0.1323700181855616</v>
      </c>
      <c r="E96" s="332">
        <f t="shared" ref="E96:O96" si="85">E95/D95-1</f>
        <v>0.25764561436942413</v>
      </c>
      <c r="F96" s="332">
        <f t="shared" si="85"/>
        <v>0.12917183356228934</v>
      </c>
      <c r="G96" s="332">
        <f t="shared" si="85"/>
        <v>6.7446561332278776E-2</v>
      </c>
      <c r="H96" s="284"/>
      <c r="I96" s="164">
        <f t="shared" si="85"/>
        <v>0.14699247823051564</v>
      </c>
      <c r="J96" s="164">
        <f t="shared" si="85"/>
        <v>0.12737958828009321</v>
      </c>
      <c r="K96" s="164">
        <f t="shared" si="85"/>
        <v>0.13733408310784756</v>
      </c>
      <c r="L96" s="164">
        <f t="shared" si="85"/>
        <v>0.13750744195619391</v>
      </c>
      <c r="M96" s="164">
        <f t="shared" si="85"/>
        <v>0.13761819131574171</v>
      </c>
      <c r="N96" s="164">
        <f t="shared" si="85"/>
        <v>0.13780383837027133</v>
      </c>
      <c r="O96" s="172">
        <f t="shared" si="85"/>
        <v>8.1517634089307567E-3</v>
      </c>
      <c r="P96" s="172">
        <f t="shared" ref="P96:AH96" si="86">P95/O95-1</f>
        <v>8.1528124126657442E-3</v>
      </c>
      <c r="Q96" s="172">
        <f t="shared" si="86"/>
        <v>8.1348916457582021E-3</v>
      </c>
      <c r="R96" s="172">
        <f t="shared" si="86"/>
        <v>8.1393412667791765E-3</v>
      </c>
      <c r="S96" s="172">
        <f t="shared" si="86"/>
        <v>8.1429275802182843E-3</v>
      </c>
      <c r="T96" s="172">
        <f t="shared" si="86"/>
        <v>8.1261797427671922E-3</v>
      </c>
      <c r="U96" s="172">
        <f t="shared" si="86"/>
        <v>8.1234981251523397E-3</v>
      </c>
      <c r="V96" s="172">
        <f t="shared" si="86"/>
        <v>8.1344766792499357E-3</v>
      </c>
      <c r="W96" s="172">
        <f t="shared" si="86"/>
        <v>8.1186584492314307E-3</v>
      </c>
      <c r="X96" s="185">
        <f t="shared" si="86"/>
        <v>8.1189899431879375E-3</v>
      </c>
      <c r="Y96" s="172">
        <f t="shared" si="86"/>
        <v>1.4490935325075727E-2</v>
      </c>
      <c r="Z96" s="172">
        <f t="shared" si="86"/>
        <v>1.4487848841207907E-2</v>
      </c>
      <c r="AA96" s="172">
        <f t="shared" si="86"/>
        <v>1.4485710164181986E-2</v>
      </c>
      <c r="AB96" s="172">
        <f t="shared" si="86"/>
        <v>1.4500650507659474E-2</v>
      </c>
      <c r="AC96" s="172">
        <f t="shared" si="86"/>
        <v>1.4473868992859185E-2</v>
      </c>
      <c r="AD96" s="172">
        <f t="shared" si="86"/>
        <v>1.448643431932739E-2</v>
      </c>
      <c r="AE96" s="172">
        <f t="shared" si="86"/>
        <v>1.4478413491845199E-2</v>
      </c>
      <c r="AF96" s="172">
        <f t="shared" si="86"/>
        <v>1.4469374141337754E-2</v>
      </c>
      <c r="AG96" s="172">
        <f t="shared" si="86"/>
        <v>1.443861558141446E-2</v>
      </c>
      <c r="AH96" s="185">
        <f t="shared" si="86"/>
        <v>1.4449230178682493E-2</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209.0985</v>
      </c>
      <c r="D102" s="331">
        <f>D31*Inputs!$C$48</f>
        <v>234.35201193030724</v>
      </c>
      <c r="E102" s="331">
        <f>E31*Inputs!$C$48</f>
        <v>239.95482254202005</v>
      </c>
      <c r="F102" s="331">
        <f>F31*Inputs!$C$48</f>
        <v>244.87968705518119</v>
      </c>
      <c r="G102" s="331">
        <f>G31*Inputs!$C$48</f>
        <v>239.24849739196455</v>
      </c>
      <c r="H102" s="402">
        <f>H31*Inputs!$C$48</f>
        <v>300.96599429526782</v>
      </c>
      <c r="I102" s="14">
        <f>I31*Inputs!$C$48</f>
        <v>310.30940811597969</v>
      </c>
      <c r="J102" s="14">
        <f>J31*Inputs!$C$48</f>
        <v>313.02654107400275</v>
      </c>
      <c r="K102" s="14">
        <f>K31*Inputs!$C$48</f>
        <v>320.81966320785045</v>
      </c>
      <c r="L102" s="14">
        <f>L31*Inputs!$C$48</f>
        <v>317.2749085523717</v>
      </c>
      <c r="M102" s="14">
        <f>M31*Inputs!$C$48</f>
        <v>324.68017455639324</v>
      </c>
      <c r="N102" s="182">
        <f>N31*Inputs!$C$48</f>
        <v>319.69319727774979</v>
      </c>
      <c r="O102" s="14">
        <f>O31*Inputs!$C$48</f>
        <v>320.98844805013402</v>
      </c>
      <c r="P102" s="14">
        <f>P31*Inputs!$C$48</f>
        <v>320.66188804424996</v>
      </c>
      <c r="Q102" s="14">
        <f>Q31*Inputs!$C$48</f>
        <v>323.86960104883104</v>
      </c>
      <c r="R102" s="14">
        <f>R31*Inputs!$C$48</f>
        <v>324.68113194909364</v>
      </c>
      <c r="S102" s="14">
        <f>S31*Inputs!$C$48</f>
        <v>323.78501620498622</v>
      </c>
      <c r="T102" s="14">
        <f>T31*Inputs!$C$48</f>
        <v>325.66322153215384</v>
      </c>
      <c r="U102" s="14">
        <f>U31*Inputs!$C$48</f>
        <v>327.16223153144784</v>
      </c>
      <c r="V102" s="14">
        <f>V31*Inputs!$C$48</f>
        <v>325.82488329933659</v>
      </c>
      <c r="W102" s="14">
        <f>W31*Inputs!$C$48</f>
        <v>326.78787503911354</v>
      </c>
      <c r="X102" s="187">
        <f>X31*Inputs!$C$48</f>
        <v>327.03904924260002</v>
      </c>
      <c r="Y102" s="158">
        <f>Y31*Inputs!$C$48</f>
        <v>327.04910363571292</v>
      </c>
      <c r="Z102" s="158">
        <f>Z31*Inputs!$C$48</f>
        <v>327.00838024915976</v>
      </c>
      <c r="AA102" s="158">
        <f>AA31*Inputs!$C$48</f>
        <v>326.79332588392106</v>
      </c>
      <c r="AB102" s="158">
        <f>AB31*Inputs!$C$48</f>
        <v>323.96696582586691</v>
      </c>
      <c r="AC102" s="158">
        <f>AC31*Inputs!$C$48</f>
        <v>324.61742730074985</v>
      </c>
      <c r="AD102" s="158">
        <f>AD31*Inputs!$C$48</f>
        <v>323.11147055126548</v>
      </c>
      <c r="AE102" s="158">
        <f>AE31*Inputs!$C$48</f>
        <v>322.34988005073404</v>
      </c>
      <c r="AF102" s="158">
        <f>AF31*Inputs!$C$48</f>
        <v>322.40865754048019</v>
      </c>
      <c r="AG102" s="158">
        <f>AG31*Inputs!$C$48</f>
        <v>326.00717663355147</v>
      </c>
      <c r="AH102" s="187">
        <f>AH31*Inputs!$C$48</f>
        <v>327.83164458921681</v>
      </c>
    </row>
    <row r="103" spans="1:36">
      <c r="A103" s="10" t="s">
        <v>59</v>
      </c>
      <c r="B103" s="35">
        <v>0</v>
      </c>
      <c r="C103" s="331">
        <f>C32*Inputs!$C$53</f>
        <v>1775.6200000000001</v>
      </c>
      <c r="D103" s="331">
        <f>D32*Inputs!$C$53</f>
        <v>1773.5746321769182</v>
      </c>
      <c r="E103" s="331">
        <f>E32*Inputs!$C$53</f>
        <v>1612.5598234265392</v>
      </c>
      <c r="F103" s="331">
        <f>F32*Inputs!$C$53</f>
        <v>1454.4812951860529</v>
      </c>
      <c r="G103" s="331">
        <f>G32*Inputs!$C$53</f>
        <v>1248.4647952282269</v>
      </c>
      <c r="H103" s="402">
        <f>H32*Inputs!$C$53</f>
        <v>1411.4322320000001</v>
      </c>
      <c r="I103" s="14">
        <f>I32*Inputs!$C$53</f>
        <v>1280.7577132308995</v>
      </c>
      <c r="J103" s="14">
        <f>J32*Inputs!$C$53</f>
        <v>1117.3680908476476</v>
      </c>
      <c r="K103" s="14">
        <f>K32*Inputs!$C$53</f>
        <v>967.66855845753435</v>
      </c>
      <c r="L103" s="14">
        <f>L32*Inputs!$C$53</f>
        <v>782.82132907149423</v>
      </c>
      <c r="M103" s="14">
        <f>M32*Inputs!$C$53</f>
        <v>624.28869642367795</v>
      </c>
      <c r="N103" s="182">
        <f>N32*Inputs!$C$53</f>
        <v>441.98968800000011</v>
      </c>
      <c r="O103" s="14">
        <f>O32*Inputs!$C$53</f>
        <v>443.78042827737443</v>
      </c>
      <c r="P103" s="14">
        <f>P32*Inputs!$C$53</f>
        <v>443.32894492914244</v>
      </c>
      <c r="Q103" s="14">
        <f>Q32*Inputs!$C$53</f>
        <v>447.76374705243109</v>
      </c>
      <c r="R103" s="14">
        <f>R32*Inputs!$C$53</f>
        <v>448.88572366145411</v>
      </c>
      <c r="S103" s="14">
        <f>S32*Inputs!$C$53</f>
        <v>447.64680484327914</v>
      </c>
      <c r="T103" s="14">
        <f>T32*Inputs!$C$53</f>
        <v>450.24350503466138</v>
      </c>
      <c r="U103" s="14">
        <f>U32*Inputs!$C$53</f>
        <v>452.31595126604373</v>
      </c>
      <c r="V103" s="14">
        <f>V32*Inputs!$C$53</f>
        <v>450.46700942777028</v>
      </c>
      <c r="W103" s="14">
        <f>W32*Inputs!$C$53</f>
        <v>451.79838720569899</v>
      </c>
      <c r="X103" s="187">
        <f>X32*Inputs!$C$53</f>
        <v>452.14564641790008</v>
      </c>
      <c r="Y103" s="158">
        <f>Y32*Inputs!$C$53</f>
        <v>452.1595470517355</v>
      </c>
      <c r="Z103" s="158">
        <f>Z32*Inputs!$C$53</f>
        <v>452.10324520649692</v>
      </c>
      <c r="AA103" s="158">
        <f>AA32*Inputs!$C$53</f>
        <v>451.80592323466794</v>
      </c>
      <c r="AB103" s="158">
        <f>AB32*Inputs!$C$53</f>
        <v>447.8983580725926</v>
      </c>
      <c r="AC103" s="158">
        <f>AC32*Inputs!$C$53</f>
        <v>448.79764922669801</v>
      </c>
      <c r="AD103" s="158">
        <f>AD32*Inputs!$C$53</f>
        <v>446.7155988123821</v>
      </c>
      <c r="AE103" s="158">
        <f>AE32*Inputs!$C$53</f>
        <v>445.66266696841421</v>
      </c>
      <c r="AF103" s="158">
        <f>AF32*Inputs!$C$53</f>
        <v>445.74392939306233</v>
      </c>
      <c r="AG103" s="158">
        <f>AG32*Inputs!$C$53</f>
        <v>450.7190378556511</v>
      </c>
      <c r="AH103" s="187">
        <f>AH32*Inputs!$C$53</f>
        <v>453.24144380409558</v>
      </c>
    </row>
    <row r="104" spans="1:36">
      <c r="A104" s="10" t="s">
        <v>121</v>
      </c>
      <c r="B104" s="35">
        <v>1</v>
      </c>
      <c r="C104" s="331">
        <f>C34*Inputs!$C$46</f>
        <v>161.48999999999998</v>
      </c>
      <c r="D104" s="331">
        <f>D34*Inputs!$C$46</f>
        <v>197.56721531931501</v>
      </c>
      <c r="E104" s="331">
        <f>E34*Inputs!$C$46</f>
        <v>254.52801553634427</v>
      </c>
      <c r="F104" s="331">
        <f>F34*Inputs!$C$46</f>
        <v>282.04822661941574</v>
      </c>
      <c r="G104" s="331">
        <f>G34*Inputs!$C$46</f>
        <v>297.69932355280292</v>
      </c>
      <c r="H104" s="402">
        <f>H34*Inputs!$C$46</f>
        <v>337.62524853713239</v>
      </c>
      <c r="I104" s="14">
        <f>I34*Inputs!$C$46</f>
        <v>395.42682488950646</v>
      </c>
      <c r="J104" s="14">
        <f>J34*Inputs!$C$46</f>
        <v>453.11988726743647</v>
      </c>
      <c r="K104" s="14">
        <f>K34*Inputs!$C$46</f>
        <v>527.54649337510386</v>
      </c>
      <c r="L104" s="14">
        <f>L34*Inputs!$C$46</f>
        <v>592.66633417059177</v>
      </c>
      <c r="M104" s="14">
        <f>M34*Inputs!$C$46</f>
        <v>688.98851486510068</v>
      </c>
      <c r="N104" s="182">
        <f>N34*Inputs!$C$46</f>
        <v>770.68719876542968</v>
      </c>
      <c r="O104" s="14">
        <f>O34*Inputs!$C$46</f>
        <v>786.0330161139666</v>
      </c>
      <c r="P104" s="14">
        <f>P34*Inputs!$C$46</f>
        <v>797.68440731368173</v>
      </c>
      <c r="Q104" s="14">
        <f>Q34*Inputs!$C$46</f>
        <v>818.4882589347261</v>
      </c>
      <c r="R104" s="14">
        <f>R34*Inputs!$C$46</f>
        <v>833.65119593052941</v>
      </c>
      <c r="S104" s="14">
        <f>S34*Inputs!$C$46</f>
        <v>844.68756368795925</v>
      </c>
      <c r="T104" s="14">
        <f>T34*Inputs!$C$46</f>
        <v>863.27167867241462</v>
      </c>
      <c r="U104" s="14">
        <f>U34*Inputs!$C$46</f>
        <v>881.27044367199665</v>
      </c>
      <c r="V104" s="14">
        <f>V34*Inputs!$C$46</f>
        <v>891.91988440722992</v>
      </c>
      <c r="W104" s="14">
        <f>W34*Inputs!$C$46</f>
        <v>909.14224662611548</v>
      </c>
      <c r="X104" s="187">
        <f>X34*Inputs!$C$46</f>
        <v>924.73873579133647</v>
      </c>
      <c r="Y104" s="158">
        <f>Y34*Inputs!$C$46</f>
        <v>941.44311033102633</v>
      </c>
      <c r="Z104" s="158">
        <f>Z34*Inputs!$C$46</f>
        <v>958.31262647422579</v>
      </c>
      <c r="AA104" s="158">
        <f>AA34*Inputs!$C$46</f>
        <v>974.97680730296224</v>
      </c>
      <c r="AB104" s="158">
        <f>AB34*Inputs!$C$46</f>
        <v>984.01161072315062</v>
      </c>
      <c r="AC104" s="158">
        <f>AC34*Inputs!$C$46</f>
        <v>1003.8188890429615</v>
      </c>
      <c r="AD104" s="158">
        <f>AD34*Inputs!$C$46</f>
        <v>1017.245170020664</v>
      </c>
      <c r="AE104" s="158">
        <f>AE34*Inputs!$C$46</f>
        <v>1033.2281602251737</v>
      </c>
      <c r="AF104" s="158">
        <f>AF34*Inputs!$C$46</f>
        <v>1052.1475572761847</v>
      </c>
      <c r="AG104" s="158">
        <f>AG34*Inputs!$C$46</f>
        <v>1083.1888172128317</v>
      </c>
      <c r="AH104" s="187">
        <f>AH34*Inputs!$C$46</f>
        <v>1109.0236046685686</v>
      </c>
    </row>
    <row r="105" spans="1:36">
      <c r="A105" s="10" t="s">
        <v>50</v>
      </c>
      <c r="B105" s="35">
        <v>1</v>
      </c>
      <c r="C105" s="331">
        <f>C35*Inputs!$C$49</f>
        <v>0</v>
      </c>
      <c r="D105" s="331">
        <f>D35*Inputs!$C$49</f>
        <v>0</v>
      </c>
      <c r="E105" s="331">
        <f>E35*Inputs!$C$49</f>
        <v>2.5000000000000002E-8</v>
      </c>
      <c r="F105" s="331">
        <f>F35*Inputs!$C$49</f>
        <v>2.5000000000000002E-8</v>
      </c>
      <c r="G105" s="331">
        <f>G35*Inputs!$C$49</f>
        <v>2.5000000000000002E-8</v>
      </c>
      <c r="H105" s="402">
        <f>H35*Inputs!$C$49</f>
        <v>2.5000000000000002E-8</v>
      </c>
      <c r="I105" s="14">
        <f>I35*Inputs!$C$49</f>
        <v>2.8012124400248326E-8</v>
      </c>
      <c r="J105" s="14">
        <f>J35*Inputs!$C$49</f>
        <v>3.070915521014773E-8</v>
      </c>
      <c r="K105" s="14">
        <f>K35*Inputs!$C$49</f>
        <v>3.4205056602717456E-8</v>
      </c>
      <c r="L105" s="14">
        <f>L35*Inputs!$C$49</f>
        <v>3.6763314380733604E-8</v>
      </c>
      <c r="M105" s="14">
        <f>M35*Inputs!$C$49</f>
        <v>4.0887561402333428E-8</v>
      </c>
      <c r="N105" s="182">
        <f>N35*Inputs!$C$49</f>
        <v>4.3755454488347214E-8</v>
      </c>
      <c r="O105" s="14">
        <f>O35*Inputs!$C$49</f>
        <v>4.4626707071309569E-8</v>
      </c>
      <c r="P105" s="14">
        <f>P35*Inputs!$C$49</f>
        <v>4.5288210101568464E-8</v>
      </c>
      <c r="Q105" s="14">
        <f>Q35*Inputs!$C$49</f>
        <v>4.6469340376270213E-8</v>
      </c>
      <c r="R105" s="14">
        <f>R35*Inputs!$C$49</f>
        <v>4.7330210001057476E-8</v>
      </c>
      <c r="S105" s="14">
        <f>S35*Inputs!$C$49</f>
        <v>4.7956795323741506E-8</v>
      </c>
      <c r="T105" s="14">
        <f>T35*Inputs!$C$49</f>
        <v>4.9011900947282622E-8</v>
      </c>
      <c r="U105" s="14">
        <f>U35*Inputs!$C$49</f>
        <v>5.003377356181059E-8</v>
      </c>
      <c r="V105" s="14">
        <f>V35*Inputs!$C$49</f>
        <v>5.0638391259059616E-8</v>
      </c>
      <c r="W105" s="14">
        <f>W35*Inputs!$C$49</f>
        <v>5.1616183919243187E-8</v>
      </c>
      <c r="X105" s="187">
        <f>X35*Inputs!$C$49</f>
        <v>5.2501668293370585E-8</v>
      </c>
      <c r="Y105" s="158">
        <f>Y35*Inputs!$C$49</f>
        <v>5.3450052412243407E-8</v>
      </c>
      <c r="Z105" s="158">
        <f>Z35*Inputs!$C$49</f>
        <v>5.4407812378967411E-8</v>
      </c>
      <c r="AA105" s="158">
        <f>AA35*Inputs!$C$49</f>
        <v>5.5353914516132009E-8</v>
      </c>
      <c r="AB105" s="158">
        <f>AB35*Inputs!$C$49</f>
        <v>5.5866861831847763E-8</v>
      </c>
      <c r="AC105" s="158">
        <f>AC35*Inputs!$C$49</f>
        <v>5.6991412059811633E-8</v>
      </c>
      <c r="AD105" s="158">
        <f>AD35*Inputs!$C$49</f>
        <v>5.7753683740473652E-8</v>
      </c>
      <c r="AE105" s="158">
        <f>AE35*Inputs!$C$49</f>
        <v>5.8661111555028514E-8</v>
      </c>
      <c r="AF105" s="158">
        <f>AF35*Inputs!$C$49</f>
        <v>5.9735252682503547E-8</v>
      </c>
      <c r="AG105" s="158">
        <f>AG35*Inputs!$C$49</f>
        <v>6.1497607680218149E-8</v>
      </c>
      <c r="AH105" s="187">
        <f>AH35*Inputs!$C$49</f>
        <v>6.2964367305324714E-8</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73.349999999999994</v>
      </c>
      <c r="D107" s="331">
        <f>D37*Inputs!$C$52</f>
        <v>86.115284856688405</v>
      </c>
      <c r="E107" s="331">
        <f>E37*Inputs!$C$52</f>
        <v>120.32175544810123</v>
      </c>
      <c r="F107" s="331">
        <f>F37*Inputs!$C$52</f>
        <v>129.77156077599767</v>
      </c>
      <c r="G107" s="331">
        <f>G37*Inputs!$C$52</f>
        <v>102.11863191215461</v>
      </c>
      <c r="H107" s="402">
        <f>H37*Inputs!$C$52</f>
        <v>54.420579003430753</v>
      </c>
      <c r="I107" s="14">
        <f>I37*Inputs!$C$52</f>
        <v>61.165319561020091</v>
      </c>
      <c r="J107" s="14">
        <f>J37*Inputs!$C$52</f>
        <v>67.26096988263194</v>
      </c>
      <c r="K107" s="14">
        <f>K37*Inputs!$C$52</f>
        <v>75.148726055185023</v>
      </c>
      <c r="L107" s="14">
        <f>L37*Inputs!$C$52</f>
        <v>81.018093759727392</v>
      </c>
      <c r="M107" s="14">
        <f>M37*Inputs!$C$52</f>
        <v>90.384638449876334</v>
      </c>
      <c r="N107" s="182">
        <f>N37*Inputs!$C$52</f>
        <v>97.022322908574196</v>
      </c>
      <c r="O107" s="14">
        <f>O37*Inputs!$C$52</f>
        <v>98.954218038622855</v>
      </c>
      <c r="P107" s="14">
        <f>P37*Inputs!$C$52</f>
        <v>100.42101940904104</v>
      </c>
      <c r="Q107" s="14">
        <f>Q37*Inputs!$C$52</f>
        <v>103.04003009580525</v>
      </c>
      <c r="R107" s="14">
        <f>R37*Inputs!$C$52</f>
        <v>104.94890229688218</v>
      </c>
      <c r="S107" s="14">
        <f>S37*Inputs!$C$52</f>
        <v>106.33827795799921</v>
      </c>
      <c r="T107" s="14">
        <f>T37*Inputs!$C$52</f>
        <v>108.67784452648544</v>
      </c>
      <c r="U107" s="14">
        <f>U37*Inputs!$C$52</f>
        <v>110.9437209969165</v>
      </c>
      <c r="V107" s="14">
        <f>V37*Inputs!$C$52</f>
        <v>112.28438615843037</v>
      </c>
      <c r="W107" s="14">
        <f>W37*Inputs!$C$52</f>
        <v>114.45252076755044</v>
      </c>
      <c r="X107" s="187">
        <f>X37*Inputs!$C$52</f>
        <v>116.41597313895628</v>
      </c>
      <c r="Y107" s="158">
        <f>Y37*Inputs!$C$52</f>
        <v>118.51889793538702</v>
      </c>
      <c r="Z107" s="158">
        <f>Z37*Inputs!$C$52</f>
        <v>120.6426125178775</v>
      </c>
      <c r="AA107" s="158">
        <f>AA37*Inputs!$C$52</f>
        <v>122.74047730136229</v>
      </c>
      <c r="AB107" s="158">
        <f>AB37*Inputs!$C$52</f>
        <v>123.87787469975326</v>
      </c>
      <c r="AC107" s="158">
        <f>AC37*Inputs!$C$52</f>
        <v>126.37142611226295</v>
      </c>
      <c r="AD107" s="158">
        <f>AD37*Inputs!$C$52</f>
        <v>128.06166953471325</v>
      </c>
      <c r="AE107" s="158">
        <f>AE37*Inputs!$C$52</f>
        <v>130.0737787784513</v>
      </c>
      <c r="AF107" s="158">
        <f>AF37*Inputs!$C$52</f>
        <v>132.45555422880156</v>
      </c>
      <c r="AG107" s="158">
        <f>AG37*Inputs!$C$52</f>
        <v>136.36335904233269</v>
      </c>
      <c r="AH107" s="187">
        <f>AH37*Inputs!$C$52</f>
        <v>139.61571758003794</v>
      </c>
    </row>
    <row r="108" spans="1:36">
      <c r="A108" s="9" t="s">
        <v>347</v>
      </c>
      <c r="B108" s="35">
        <v>1</v>
      </c>
      <c r="C108" s="331">
        <f>C38*Inputs!$C$54</f>
        <v>0</v>
      </c>
      <c r="D108" s="331">
        <f>D38*Inputs!$C$54</f>
        <v>0</v>
      </c>
      <c r="E108" s="331">
        <f>E38*Inputs!$C$54</f>
        <v>0.15800000000000003</v>
      </c>
      <c r="F108" s="331">
        <f>F38*Inputs!$C$54</f>
        <v>0.15800000000000003</v>
      </c>
      <c r="G108" s="331">
        <f>G38*Inputs!$C$54</f>
        <v>0.15800000000000003</v>
      </c>
      <c r="H108" s="402">
        <f>H38*Inputs!$C$54</f>
        <v>0.15800000000000003</v>
      </c>
      <c r="I108" s="14">
        <f>I38*Inputs!$C$54</f>
        <v>0.17703662620956939</v>
      </c>
      <c r="J108" s="14">
        <f>J38*Inputs!$C$54</f>
        <v>0.19408186092813362</v>
      </c>
      <c r="K108" s="14">
        <f>K38*Inputs!$C$54</f>
        <v>0.21617595772917425</v>
      </c>
      <c r="L108" s="14">
        <f>L38*Inputs!$C$54</f>
        <v>0.23234414688623634</v>
      </c>
      <c r="M108" s="14">
        <f>M38*Inputs!$C$54</f>
        <v>0.25840938806274716</v>
      </c>
      <c r="N108" s="182">
        <f>N38*Inputs!$C$54</f>
        <v>0.27653447236635437</v>
      </c>
      <c r="O108" s="14">
        <f>O38*Inputs!$C$54</f>
        <v>0.28204078869067634</v>
      </c>
      <c r="P108" s="14">
        <f>P38*Inputs!$C$54</f>
        <v>0.28622148784191254</v>
      </c>
      <c r="Q108" s="14">
        <f>Q38*Inputs!$C$54</f>
        <v>0.29368623117802761</v>
      </c>
      <c r="R108" s="14">
        <f>R38*Inputs!$C$54</f>
        <v>0.29912692720668316</v>
      </c>
      <c r="S108" s="14">
        <f>S38*Inputs!$C$54</f>
        <v>0.30308694644604617</v>
      </c>
      <c r="T108" s="14">
        <f>T38*Inputs!$C$54</f>
        <v>0.30975521398682604</v>
      </c>
      <c r="U108" s="14">
        <f>U38*Inputs!$C$54</f>
        <v>0.31621344891064279</v>
      </c>
      <c r="V108" s="14">
        <f>V38*Inputs!$C$54</f>
        <v>0.32003463275725663</v>
      </c>
      <c r="W108" s="14">
        <f>W38*Inputs!$C$54</f>
        <v>0.32621428236961675</v>
      </c>
      <c r="X108" s="187">
        <f>X38*Inputs!$C$54</f>
        <v>0.33181054361410206</v>
      </c>
      <c r="Y108" s="158">
        <f>Y38*Inputs!$C$54</f>
        <v>0.33780433124537823</v>
      </c>
      <c r="Z108" s="158">
        <f>Z38*Inputs!$C$54</f>
        <v>0.34385737423507395</v>
      </c>
      <c r="AA108" s="158">
        <f>AA38*Inputs!$C$54</f>
        <v>0.34983673974195417</v>
      </c>
      <c r="AB108" s="158">
        <f>AB38*Inputs!$C$54</f>
        <v>0.35307856677727772</v>
      </c>
      <c r="AC108" s="158">
        <f>AC38*Inputs!$C$54</f>
        <v>0.36018572421800943</v>
      </c>
      <c r="AD108" s="158">
        <f>AD38*Inputs!$C$54</f>
        <v>0.36500328123979336</v>
      </c>
      <c r="AE108" s="158">
        <f>AE38*Inputs!$C$54</f>
        <v>0.37073822502778014</v>
      </c>
      <c r="AF108" s="158">
        <f>AF38*Inputs!$C$54</f>
        <v>0.37752679695342234</v>
      </c>
      <c r="AG108" s="158">
        <f>AG38*Inputs!$C$54</f>
        <v>0.38866488053897857</v>
      </c>
      <c r="AH108" s="187">
        <f>AH38*Inputs!$C$54</f>
        <v>0.39793480136965226</v>
      </c>
    </row>
    <row r="109" spans="1:36">
      <c r="A109" s="9" t="s">
        <v>348</v>
      </c>
      <c r="B109" s="35">
        <v>1</v>
      </c>
      <c r="C109" s="331">
        <f>C39*Inputs!$C$54</f>
        <v>0</v>
      </c>
      <c r="D109" s="331">
        <f>D39*Inputs!$C$55</f>
        <v>0</v>
      </c>
      <c r="E109" s="331">
        <f>E39*Inputs!$C$55</f>
        <v>2.3000000000000003E-2</v>
      </c>
      <c r="F109" s="331">
        <f>F39*Inputs!$C$55</f>
        <v>2.3000000000000003E-2</v>
      </c>
      <c r="G109" s="331">
        <f>G39*Inputs!$C$55</f>
        <v>2.3000000000000003E-2</v>
      </c>
      <c r="H109" s="402">
        <f>H39*Inputs!$C$55</f>
        <v>2.3000000000000003E-2</v>
      </c>
      <c r="I109" s="14">
        <f>I39*Inputs!$C$55</f>
        <v>2.5771154448228455E-2</v>
      </c>
      <c r="J109" s="14">
        <f>J39*Inputs!$C$55</f>
        <v>2.8252422793335907E-2</v>
      </c>
      <c r="K109" s="14">
        <f>K39*Inputs!$C$55</f>
        <v>3.1468652074500052E-2</v>
      </c>
      <c r="L109" s="14">
        <f>L39*Inputs!$C$55</f>
        <v>3.3822249230274909E-2</v>
      </c>
      <c r="M109" s="14">
        <f>M39*Inputs!$C$55</f>
        <v>3.7616556490146738E-2</v>
      </c>
      <c r="N109" s="182">
        <f>N39*Inputs!$C$55</f>
        <v>4.0255018129279431E-2</v>
      </c>
      <c r="O109" s="14">
        <f>O39*Inputs!$C$55</f>
        <v>4.1056570505604781E-2</v>
      </c>
      <c r="P109" s="14">
        <f>P39*Inputs!$C$55</f>
        <v>4.1665153293442961E-2</v>
      </c>
      <c r="Q109" s="14">
        <f>Q39*Inputs!$C$55</f>
        <v>4.275179314616858E-2</v>
      </c>
      <c r="R109" s="14">
        <f>R39*Inputs!$C$55</f>
        <v>4.3543793200972861E-2</v>
      </c>
      <c r="S109" s="14">
        <f>S39*Inputs!$C$55</f>
        <v>4.4120251697842165E-2</v>
      </c>
      <c r="T109" s="14">
        <f>T39*Inputs!$C$55</f>
        <v>4.5090948871499989E-2</v>
      </c>
      <c r="U109" s="14">
        <f>U39*Inputs!$C$55</f>
        <v>4.6031071676865723E-2</v>
      </c>
      <c r="V109" s="14">
        <f>V39*Inputs!$C$55</f>
        <v>4.6587319958334823E-2</v>
      </c>
      <c r="W109" s="14">
        <f>W39*Inputs!$C$55</f>
        <v>4.7486889205703708E-2</v>
      </c>
      <c r="X109" s="187">
        <f>X39*Inputs!$C$55</f>
        <v>4.8301534829900933E-2</v>
      </c>
      <c r="Y109" s="158">
        <f>Y39*Inputs!$C$55</f>
        <v>4.9174048219263924E-2</v>
      </c>
      <c r="Z109" s="158">
        <f>Z39*Inputs!$C$55</f>
        <v>5.0055187388650002E-2</v>
      </c>
      <c r="AA109" s="158">
        <f>AA39*Inputs!$C$55</f>
        <v>5.0925601354841435E-2</v>
      </c>
      <c r="AB109" s="158">
        <f>AB39*Inputs!$C$55</f>
        <v>5.1397512885299923E-2</v>
      </c>
      <c r="AC109" s="158">
        <f>AC39*Inputs!$C$55</f>
        <v>5.2432099095026684E-2</v>
      </c>
      <c r="AD109" s="158">
        <f>AD39*Inputs!$C$55</f>
        <v>5.3133389041235747E-2</v>
      </c>
      <c r="AE109" s="158">
        <f>AE39*Inputs!$C$55</f>
        <v>5.3968222630626221E-2</v>
      </c>
      <c r="AF109" s="158">
        <f>AF39*Inputs!$C$55</f>
        <v>5.495643246790325E-2</v>
      </c>
      <c r="AG109" s="158">
        <f>AG39*Inputs!$C$55</f>
        <v>5.6577799065800682E-2</v>
      </c>
      <c r="AH109" s="187">
        <f>AH39*Inputs!$C$55</f>
        <v>5.7927217920898742E-2</v>
      </c>
    </row>
    <row r="110" spans="1:36">
      <c r="A110" s="9" t="s">
        <v>344</v>
      </c>
      <c r="B110" s="35">
        <v>1</v>
      </c>
      <c r="C110" s="331">
        <f>C40*Inputs!$C$51</f>
        <v>2.7000000000000001E-3</v>
      </c>
      <c r="D110" s="331">
        <f>D40*Inputs!$C$51</f>
        <v>3.1601510030079914E-3</v>
      </c>
      <c r="E110" s="331">
        <f>E40*Inputs!$C$51</f>
        <v>3.3852934784816937E-3</v>
      </c>
      <c r="F110" s="331">
        <f>F40*Inputs!$C$51</f>
        <v>3.6206288339953588E-3</v>
      </c>
      <c r="G110" s="331">
        <f>G40*Inputs!$C$51</f>
        <v>3.7129954822186762E-3</v>
      </c>
      <c r="H110" s="402">
        <f>H40*Inputs!$C$51</f>
        <v>2.7000000000000001E-3</v>
      </c>
      <c r="I110" s="14">
        <f>I40*Inputs!$C$51</f>
        <v>3.0253094352268193E-3</v>
      </c>
      <c r="J110" s="14">
        <f>J40*Inputs!$C$51</f>
        <v>3.3165887626959551E-3</v>
      </c>
      <c r="K110" s="14">
        <f>K40*Inputs!$C$51</f>
        <v>3.6941461130934848E-3</v>
      </c>
      <c r="L110" s="14">
        <f>L40*Inputs!$C$51</f>
        <v>3.9704379531192296E-3</v>
      </c>
      <c r="M110" s="14">
        <f>M40*Inputs!$C$51</f>
        <v>4.4158566314520097E-3</v>
      </c>
      <c r="N110" s="182">
        <f>N40*Inputs!$C$51</f>
        <v>4.7255890847414991E-3</v>
      </c>
      <c r="O110" s="14">
        <f>O40*Inputs!$C$51</f>
        <v>4.8196843637014321E-3</v>
      </c>
      <c r="P110" s="14">
        <f>P40*Inputs!$C$51</f>
        <v>4.8911266909693937E-3</v>
      </c>
      <c r="Q110" s="14">
        <f>Q40*Inputs!$C$51</f>
        <v>5.0186887606371829E-3</v>
      </c>
      <c r="R110" s="14">
        <f>R40*Inputs!$C$51</f>
        <v>5.1116626801142075E-3</v>
      </c>
      <c r="S110" s="14">
        <f>S40*Inputs!$C$51</f>
        <v>5.1793338949640833E-3</v>
      </c>
      <c r="T110" s="14">
        <f>T40*Inputs!$C$51</f>
        <v>5.2932853023065236E-3</v>
      </c>
      <c r="U110" s="14">
        <f>U40*Inputs!$C$51</f>
        <v>5.4036475446755435E-3</v>
      </c>
      <c r="V110" s="14">
        <f>V40*Inputs!$C$51</f>
        <v>5.4689462559784387E-3</v>
      </c>
      <c r="W110" s="14">
        <f>W40*Inputs!$C$51</f>
        <v>5.574547863278264E-3</v>
      </c>
      <c r="X110" s="187">
        <f>X40*Inputs!$C$51</f>
        <v>5.6701801756840232E-3</v>
      </c>
      <c r="Y110" s="158">
        <f>Y40*Inputs!$C$51</f>
        <v>5.7726056605222871E-3</v>
      </c>
      <c r="Z110" s="158">
        <f>Z40*Inputs!$C$51</f>
        <v>5.876043736928481E-3</v>
      </c>
      <c r="AA110" s="158">
        <f>AA40*Inputs!$C$51</f>
        <v>5.9782227677422561E-3</v>
      </c>
      <c r="AB110" s="158">
        <f>AB40*Inputs!$C$51</f>
        <v>6.0336210778395571E-3</v>
      </c>
      <c r="AC110" s="158">
        <f>AC40*Inputs!$C$51</f>
        <v>6.1550725024596556E-3</v>
      </c>
      <c r="AD110" s="158">
        <f>AD40*Inputs!$C$51</f>
        <v>6.2373978439711538E-3</v>
      </c>
      <c r="AE110" s="158">
        <f>AE40*Inputs!$C$51</f>
        <v>6.335400047943078E-3</v>
      </c>
      <c r="AF110" s="158">
        <f>AF40*Inputs!$C$51</f>
        <v>6.4514072897103826E-3</v>
      </c>
      <c r="AG110" s="158">
        <f>AG40*Inputs!$C$51</f>
        <v>6.6417416294635599E-3</v>
      </c>
      <c r="AH110" s="187">
        <f>AH40*Inputs!$C$51</f>
        <v>6.8001516689750715E-3</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178.84</v>
      </c>
      <c r="D112" s="331">
        <f>D42*Inputs!$C$57</f>
        <v>219.45560010128369</v>
      </c>
      <c r="E112" s="331">
        <f>E42*Inputs!$C$57</f>
        <v>246.47512330489192</v>
      </c>
      <c r="F112" s="331">
        <f>F42*Inputs!$C$57</f>
        <v>276.37497045234647</v>
      </c>
      <c r="G112" s="331">
        <f>G42*Inputs!$C$57</f>
        <v>297.15090664689274</v>
      </c>
      <c r="H112" s="402">
        <f>H42*Inputs!$C$57</f>
        <v>222.93870614329703</v>
      </c>
      <c r="I112" s="14">
        <f>I42*Inputs!$C$57</f>
        <v>267.58048355445322</v>
      </c>
      <c r="J112" s="14">
        <f>J42*Inputs!$C$57</f>
        <v>301.01574188141132</v>
      </c>
      <c r="K112" s="14">
        <f>K42*Inputs!$C$57</f>
        <v>351.51963405418172</v>
      </c>
      <c r="L112" s="14">
        <f>L42*Inputs!$C$57</f>
        <v>396.10640740753331</v>
      </c>
      <c r="M112" s="14">
        <f>M42*Inputs!$C$57</f>
        <v>461.87701911434618</v>
      </c>
      <c r="N112" s="182">
        <f>N42*Inputs!$C$57</f>
        <v>518.20939174076454</v>
      </c>
      <c r="O112" s="14">
        <f>O42*Inputs!$C$57</f>
        <v>528.52790577173494</v>
      </c>
      <c r="P112" s="14">
        <f>P42*Inputs!$C$57</f>
        <v>536.36229092333758</v>
      </c>
      <c r="Q112" s="14">
        <f>Q42*Inputs!$C$57</f>
        <v>550.35078237833557</v>
      </c>
      <c r="R112" s="14">
        <f>R42*Inputs!$C$57</f>
        <v>560.54632782165663</v>
      </c>
      <c r="S112" s="14">
        <f>S42*Inputs!$C$57</f>
        <v>567.96717175388585</v>
      </c>
      <c r="T112" s="14">
        <f>T42*Inputs!$C$57</f>
        <v>580.46311425502279</v>
      </c>
      <c r="U112" s="14">
        <f>U42*Inputs!$C$57</f>
        <v>592.56546794334088</v>
      </c>
      <c r="V112" s="14">
        <f>V42*Inputs!$C$57</f>
        <v>599.72614248759817</v>
      </c>
      <c r="W112" s="14">
        <f>W42*Inputs!$C$57</f>
        <v>611.30644363193335</v>
      </c>
      <c r="X112" s="187">
        <f>X42*Inputs!$C$57</f>
        <v>621.79350917103568</v>
      </c>
      <c r="Y112" s="158">
        <f>Y42*Inputs!$C$57</f>
        <v>633.02551585739207</v>
      </c>
      <c r="Z112" s="158">
        <f>Z42*Inputs!$C$57</f>
        <v>644.36856361208697</v>
      </c>
      <c r="AA112" s="158">
        <f>AA42*Inputs!$C$57</f>
        <v>655.57354408269941</v>
      </c>
      <c r="AB112" s="158">
        <f>AB42*Inputs!$C$57</f>
        <v>661.64853792244821</v>
      </c>
      <c r="AC112" s="158">
        <f>AC42*Inputs!$C$57</f>
        <v>674.9669343699195</v>
      </c>
      <c r="AD112" s="158">
        <f>AD42*Inputs!$C$57</f>
        <v>683.9947538405703</v>
      </c>
      <c r="AE112" s="158">
        <f>AE42*Inputs!$C$57</f>
        <v>694.74170233711379</v>
      </c>
      <c r="AF112" s="158">
        <f>AF42*Inputs!$C$57</f>
        <v>707.46308820366494</v>
      </c>
      <c r="AG112" s="158">
        <f>AG42*Inputs!$C$57</f>
        <v>728.33520396788788</v>
      </c>
      <c r="AH112" s="187">
        <f>AH42*Inputs!$C$57</f>
        <v>745.70649223456178</v>
      </c>
      <c r="AI112" s="31" t="s">
        <v>0</v>
      </c>
    </row>
    <row r="113" spans="1:35" s="20" customFormat="1">
      <c r="A113" s="10" t="s">
        <v>384</v>
      </c>
      <c r="B113" s="37"/>
      <c r="C113" s="334">
        <f>SUM(C100:C112)</f>
        <v>2398.4012000000002</v>
      </c>
      <c r="D113" s="334">
        <f t="shared" ref="D113:AH113" si="87">SUM(D100:D112)</f>
        <v>2511.0679045355159</v>
      </c>
      <c r="E113" s="334">
        <f t="shared" si="87"/>
        <v>2474.0239255763754</v>
      </c>
      <c r="F113" s="334">
        <f t="shared" si="87"/>
        <v>2387.7403607428282</v>
      </c>
      <c r="G113" s="334">
        <f t="shared" si="87"/>
        <v>2184.8668677525238</v>
      </c>
      <c r="H113" s="404">
        <f t="shared" si="87"/>
        <v>2327.5664600041282</v>
      </c>
      <c r="I113" s="19">
        <f t="shared" si="87"/>
        <v>2315.4455824699644</v>
      </c>
      <c r="J113" s="19">
        <f t="shared" si="87"/>
        <v>2252.0168818563238</v>
      </c>
      <c r="K113" s="19">
        <f t="shared" si="87"/>
        <v>2242.9544139399768</v>
      </c>
      <c r="L113" s="19">
        <f t="shared" si="87"/>
        <v>2170.157209832551</v>
      </c>
      <c r="M113" s="19">
        <f t="shared" si="87"/>
        <v>2190.519485251466</v>
      </c>
      <c r="N113" s="182">
        <f t="shared" si="87"/>
        <v>2147.9233138158543</v>
      </c>
      <c r="O113" s="19">
        <f t="shared" si="87"/>
        <v>2178.6119333400193</v>
      </c>
      <c r="P113" s="19">
        <f t="shared" si="87"/>
        <v>2198.7913284325673</v>
      </c>
      <c r="Q113" s="19">
        <f t="shared" si="87"/>
        <v>2243.853876269683</v>
      </c>
      <c r="R113" s="19">
        <f t="shared" si="87"/>
        <v>2273.0610640900341</v>
      </c>
      <c r="S113" s="19">
        <f t="shared" si="87"/>
        <v>2290.7772210281055</v>
      </c>
      <c r="T113" s="19">
        <f t="shared" si="87"/>
        <v>2328.6795035179107</v>
      </c>
      <c r="U113" s="19">
        <f t="shared" si="87"/>
        <v>2364.6254636279118</v>
      </c>
      <c r="V113" s="19">
        <f t="shared" si="87"/>
        <v>2380.5943967299754</v>
      </c>
      <c r="W113" s="19">
        <f t="shared" si="87"/>
        <v>2413.8667490414664</v>
      </c>
      <c r="X113" s="182">
        <f t="shared" si="87"/>
        <v>2442.5186960729502</v>
      </c>
      <c r="Y113" s="206">
        <f t="shared" si="87"/>
        <v>2472.5889258498291</v>
      </c>
      <c r="Z113" s="206">
        <f t="shared" si="87"/>
        <v>2502.8352167196153</v>
      </c>
      <c r="AA113" s="206">
        <f t="shared" si="87"/>
        <v>2532.2968184248311</v>
      </c>
      <c r="AB113" s="206">
        <f t="shared" si="87"/>
        <v>2541.8138570004189</v>
      </c>
      <c r="AC113" s="206">
        <f t="shared" si="87"/>
        <v>2578.9910990053986</v>
      </c>
      <c r="AD113" s="206">
        <f t="shared" si="87"/>
        <v>2599.5530368854738</v>
      </c>
      <c r="AE113" s="206">
        <f t="shared" si="87"/>
        <v>2626.4872302662543</v>
      </c>
      <c r="AF113" s="206">
        <f t="shared" si="87"/>
        <v>2660.6577213386399</v>
      </c>
      <c r="AG113" s="206">
        <f t="shared" si="87"/>
        <v>2725.0654791949864</v>
      </c>
      <c r="AH113" s="182">
        <f t="shared" si="87"/>
        <v>2775.8815651104046</v>
      </c>
      <c r="AI113" s="31" t="s">
        <v>0</v>
      </c>
    </row>
    <row r="114" spans="1:35" s="20" customFormat="1">
      <c r="A114" s="10" t="s">
        <v>385</v>
      </c>
      <c r="B114" s="37"/>
      <c r="C114" s="334">
        <f>SUM(C101:C103)</f>
        <v>1984.7185000000002</v>
      </c>
      <c r="D114" s="334">
        <f t="shared" ref="D114:AH114" si="88">SUM(D101:D103)</f>
        <v>2007.9266441072255</v>
      </c>
      <c r="E114" s="334">
        <f t="shared" si="88"/>
        <v>1852.5146459685593</v>
      </c>
      <c r="F114" s="334">
        <f t="shared" si="88"/>
        <v>1699.3609822412341</v>
      </c>
      <c r="G114" s="334">
        <f t="shared" si="88"/>
        <v>1487.7132926201914</v>
      </c>
      <c r="H114" s="404">
        <f t="shared" si="88"/>
        <v>1712.3982262952679</v>
      </c>
      <c r="I114" s="19">
        <f t="shared" si="88"/>
        <v>1591.0671213468793</v>
      </c>
      <c r="J114" s="19">
        <f t="shared" si="88"/>
        <v>1430.3946319216504</v>
      </c>
      <c r="K114" s="19">
        <f t="shared" si="88"/>
        <v>1288.4882216653848</v>
      </c>
      <c r="L114" s="19">
        <f t="shared" si="88"/>
        <v>1100.0962376238658</v>
      </c>
      <c r="M114" s="19">
        <f t="shared" si="88"/>
        <v>948.96887098007119</v>
      </c>
      <c r="N114" s="182">
        <f t="shared" si="88"/>
        <v>761.68288527774985</v>
      </c>
      <c r="O114" s="19">
        <f t="shared" si="88"/>
        <v>764.76887632750845</v>
      </c>
      <c r="P114" s="19">
        <f t="shared" si="88"/>
        <v>763.99083297339234</v>
      </c>
      <c r="Q114" s="19">
        <f t="shared" si="88"/>
        <v>771.63334810126207</v>
      </c>
      <c r="R114" s="19">
        <f t="shared" si="88"/>
        <v>773.56685561054769</v>
      </c>
      <c r="S114" s="19">
        <f t="shared" si="88"/>
        <v>771.43182104826542</v>
      </c>
      <c r="T114" s="19">
        <f t="shared" si="88"/>
        <v>775.90672656681522</v>
      </c>
      <c r="U114" s="19">
        <f t="shared" si="88"/>
        <v>779.47818279749163</v>
      </c>
      <c r="V114" s="19">
        <f t="shared" si="88"/>
        <v>776.29189272710687</v>
      </c>
      <c r="W114" s="19">
        <f t="shared" si="88"/>
        <v>778.58626224481259</v>
      </c>
      <c r="X114" s="182">
        <f t="shared" si="88"/>
        <v>779.1846956605001</v>
      </c>
      <c r="Y114" s="206">
        <f t="shared" si="88"/>
        <v>779.20865068744843</v>
      </c>
      <c r="Z114" s="206">
        <f t="shared" si="88"/>
        <v>779.11162545565662</v>
      </c>
      <c r="AA114" s="206">
        <f t="shared" si="88"/>
        <v>778.599249118589</v>
      </c>
      <c r="AB114" s="206">
        <f t="shared" si="88"/>
        <v>771.86532389845956</v>
      </c>
      <c r="AC114" s="206">
        <f t="shared" si="88"/>
        <v>773.41507652744781</v>
      </c>
      <c r="AD114" s="206">
        <f t="shared" si="88"/>
        <v>769.82706936364752</v>
      </c>
      <c r="AE114" s="206">
        <f t="shared" si="88"/>
        <v>768.01254701914831</v>
      </c>
      <c r="AF114" s="206">
        <f t="shared" si="88"/>
        <v>768.15258693354258</v>
      </c>
      <c r="AG114" s="206">
        <f t="shared" si="88"/>
        <v>776.72621448920256</v>
      </c>
      <c r="AH114" s="182">
        <f t="shared" si="88"/>
        <v>781.07308839331245</v>
      </c>
      <c r="AI114" s="31"/>
    </row>
    <row r="115" spans="1:35" s="20" customFormat="1">
      <c r="A115" s="10" t="s">
        <v>386</v>
      </c>
      <c r="B115" s="37"/>
      <c r="C115" s="334">
        <f>SUMPRODUCT($B104:$B112,C104:C112)</f>
        <v>413.68269999999995</v>
      </c>
      <c r="D115" s="334">
        <f t="shared" ref="D115:AH115" si="89">SUMPRODUCT($B104:$B112,D104:D112)</f>
        <v>503.14126042829014</v>
      </c>
      <c r="E115" s="334">
        <f t="shared" si="89"/>
        <v>621.50927960781587</v>
      </c>
      <c r="F115" s="334">
        <f t="shared" si="89"/>
        <v>688.37937850159392</v>
      </c>
      <c r="G115" s="334">
        <f t="shared" si="89"/>
        <v>697.15357513233255</v>
      </c>
      <c r="H115" s="404">
        <f t="shared" si="89"/>
        <v>615.16823370886027</v>
      </c>
      <c r="I115" s="19">
        <f t="shared" si="89"/>
        <v>724.37846112308489</v>
      </c>
      <c r="J115" s="19">
        <f t="shared" si="89"/>
        <v>821.62224993467294</v>
      </c>
      <c r="K115" s="19">
        <f t="shared" si="89"/>
        <v>954.46619227459246</v>
      </c>
      <c r="L115" s="19">
        <f t="shared" si="89"/>
        <v>1070.0609722086856</v>
      </c>
      <c r="M115" s="19">
        <f t="shared" si="89"/>
        <v>1241.550614271395</v>
      </c>
      <c r="N115" s="182">
        <f t="shared" si="89"/>
        <v>1386.2404285381044</v>
      </c>
      <c r="O115" s="19">
        <f t="shared" si="89"/>
        <v>1413.8430570125111</v>
      </c>
      <c r="P115" s="19">
        <f t="shared" si="89"/>
        <v>1434.8004954591747</v>
      </c>
      <c r="Q115" s="19">
        <f t="shared" si="89"/>
        <v>1472.2205281684212</v>
      </c>
      <c r="R115" s="19">
        <f t="shared" si="89"/>
        <v>1499.4942084794861</v>
      </c>
      <c r="S115" s="19">
        <f t="shared" si="89"/>
        <v>1519.3453999798398</v>
      </c>
      <c r="T115" s="19">
        <f t="shared" si="89"/>
        <v>1552.7727769510952</v>
      </c>
      <c r="U115" s="19">
        <f t="shared" si="89"/>
        <v>1585.14728083042</v>
      </c>
      <c r="V115" s="19">
        <f t="shared" si="89"/>
        <v>1604.3025040028683</v>
      </c>
      <c r="W115" s="19">
        <f t="shared" si="89"/>
        <v>1635.2804867966543</v>
      </c>
      <c r="X115" s="182">
        <f t="shared" si="89"/>
        <v>1663.3340004124502</v>
      </c>
      <c r="Y115" s="206">
        <f t="shared" si="89"/>
        <v>1693.3802751623807</v>
      </c>
      <c r="Z115" s="206">
        <f t="shared" si="89"/>
        <v>1723.7235912639585</v>
      </c>
      <c r="AA115" s="206">
        <f t="shared" si="89"/>
        <v>1753.6975693062423</v>
      </c>
      <c r="AB115" s="206">
        <f t="shared" si="89"/>
        <v>1769.9485331019594</v>
      </c>
      <c r="AC115" s="206">
        <f t="shared" si="89"/>
        <v>1805.5760224779508</v>
      </c>
      <c r="AD115" s="206">
        <f t="shared" si="89"/>
        <v>1829.7259675218261</v>
      </c>
      <c r="AE115" s="206">
        <f t="shared" si="89"/>
        <v>1858.474683247106</v>
      </c>
      <c r="AF115" s="206">
        <f t="shared" si="89"/>
        <v>1892.5051344050971</v>
      </c>
      <c r="AG115" s="206">
        <f t="shared" si="89"/>
        <v>1948.339264705784</v>
      </c>
      <c r="AH115" s="182">
        <f t="shared" si="89"/>
        <v>1994.8084767170922</v>
      </c>
    </row>
    <row r="116" spans="1:35" s="20" customFormat="1">
      <c r="A116" s="10" t="s">
        <v>142</v>
      </c>
      <c r="B116" s="37"/>
      <c r="C116" s="334">
        <f>C47*Inputs!$C$60</f>
        <v>3295.1380000000004</v>
      </c>
      <c r="D116" s="334">
        <f>D47*Inputs!$C$60</f>
        <v>4498.9422190456116</v>
      </c>
      <c r="E116" s="334">
        <f>E47*Inputs!$C$60</f>
        <v>4736.2233053448663</v>
      </c>
      <c r="F116" s="334">
        <f>F47*Inputs!$C$60</f>
        <v>4399.5848309525327</v>
      </c>
      <c r="G116" s="334">
        <f>G47*Inputs!$C$60</f>
        <v>4571.9657374623666</v>
      </c>
      <c r="H116" s="404">
        <f>H47*Inputs!$C$60</f>
        <v>4471.5505058516965</v>
      </c>
      <c r="I116" s="19">
        <f>I47*Inputs!$C$60</f>
        <v>4686.8974548701017</v>
      </c>
      <c r="J116" s="19">
        <f>J47*Inputs!$C$60</f>
        <v>4332.0124984631202</v>
      </c>
      <c r="K116" s="19">
        <f>K47*Inputs!$C$60</f>
        <v>4373.5737668500378</v>
      </c>
      <c r="L116" s="19">
        <f>L47*Inputs!$C$60</f>
        <v>4240.4396653696203</v>
      </c>
      <c r="M116" s="19">
        <f>M47*Inputs!$C$60</f>
        <v>4304.1439856983516</v>
      </c>
      <c r="N116" s="182">
        <f>N47*Inputs!$C$60</f>
        <v>4106.7510768405364</v>
      </c>
      <c r="O116" s="19">
        <f>O47*Inputs!$C$60</f>
        <v>4113.2719852980226</v>
      </c>
      <c r="P116" s="19">
        <f>P47*Inputs!$C$60</f>
        <v>4126.176659221861</v>
      </c>
      <c r="Q116" s="19">
        <f>Q47*Inputs!$C$60</f>
        <v>4139.5873376886029</v>
      </c>
      <c r="R116" s="19">
        <f>R47*Inputs!$C$60</f>
        <v>4158.8883132137735</v>
      </c>
      <c r="S116" s="19">
        <f>S47*Inputs!$C$60</f>
        <v>4168.8802932696981</v>
      </c>
      <c r="T116" s="19">
        <f>T47*Inputs!$C$60</f>
        <v>4162.9568719242661</v>
      </c>
      <c r="U116" s="19">
        <f>U47*Inputs!$C$60</f>
        <v>4157.9923378890198</v>
      </c>
      <c r="V116" s="19">
        <f>V47*Inputs!$C$60</f>
        <v>4148.6889751905901</v>
      </c>
      <c r="W116" s="19">
        <f>W47*Inputs!$C$60</f>
        <v>4144.6654086839253</v>
      </c>
      <c r="X116" s="182">
        <f>X47*Inputs!$C$60</f>
        <v>4142.6148876009183</v>
      </c>
      <c r="Y116" s="206">
        <f>Y47*Inputs!$C$60</f>
        <v>4134.3527194586222</v>
      </c>
      <c r="Z116" s="206">
        <f>Z47*Inputs!$C$60</f>
        <v>4124.1322042265947</v>
      </c>
      <c r="AA116" s="206">
        <f>AA47*Inputs!$C$60</f>
        <v>4115.7157003538641</v>
      </c>
      <c r="AB116" s="206">
        <f>AB47*Inputs!$C$60</f>
        <v>4111.6459342252447</v>
      </c>
      <c r="AC116" s="206">
        <f>AC47*Inputs!$C$60</f>
        <v>4100.1683789758854</v>
      </c>
      <c r="AD116" s="206">
        <f>AD47*Inputs!$C$60</f>
        <v>4092.8814440316887</v>
      </c>
      <c r="AE116" s="206">
        <f>AE47*Inputs!$C$60</f>
        <v>4083.1953205462823</v>
      </c>
      <c r="AF116" s="206">
        <f>AF47*Inputs!$C$60</f>
        <v>4071.2964449380547</v>
      </c>
      <c r="AG116" s="206">
        <f>AG47*Inputs!$C$60</f>
        <v>4052.0606212277758</v>
      </c>
      <c r="AH116" s="182">
        <f>AH47*Inputs!$C$60</f>
        <v>4036.5234405808833</v>
      </c>
      <c r="AI116" s="31"/>
    </row>
    <row r="117" spans="1:35" s="20" customFormat="1">
      <c r="A117" s="10" t="s">
        <v>222</v>
      </c>
      <c r="B117" s="37"/>
      <c r="C117" s="334">
        <f>C48*Inputs!$C$61</f>
        <v>1412.2020000000002</v>
      </c>
      <c r="D117" s="334">
        <f>D48*Inputs!$C$61</f>
        <v>615.66594583120661</v>
      </c>
      <c r="E117" s="334">
        <f>E48*Inputs!$C$61</f>
        <v>334.25103302923054</v>
      </c>
      <c r="F117" s="334">
        <f>F48*Inputs!$C$61</f>
        <v>637.23698297059298</v>
      </c>
      <c r="G117" s="334">
        <f>G48*Inputs!$C$61</f>
        <v>200.87939680750875</v>
      </c>
      <c r="H117" s="404">
        <f>H48*Inputs!$C$61</f>
        <v>302.7811596406097</v>
      </c>
      <c r="I117" s="19">
        <f>I48*Inputs!$C$61</f>
        <v>293.02689228268849</v>
      </c>
      <c r="J117" s="19">
        <f>J48*Inputs!$C$61</f>
        <v>751.72099453415706</v>
      </c>
      <c r="K117" s="19">
        <f>K48*Inputs!$C$61</f>
        <v>884.8156162119418</v>
      </c>
      <c r="L117" s="19">
        <f>L48*Inputs!$C$61</f>
        <v>994.63848022234004</v>
      </c>
      <c r="M117" s="19">
        <f>M48*Inputs!$C$61</f>
        <v>1079.8132883176179</v>
      </c>
      <c r="N117" s="182">
        <f>N48*Inputs!$C$61</f>
        <v>1206.8101341717713</v>
      </c>
      <c r="O117" s="19">
        <f>O48*Inputs!$C$61</f>
        <v>1261.1507123389438</v>
      </c>
      <c r="P117" s="19">
        <f>P48*Inputs!$C$61</f>
        <v>1282.4585837512868</v>
      </c>
      <c r="Q117" s="19">
        <f>Q48*Inputs!$C$61</f>
        <v>1364.1123055883943</v>
      </c>
      <c r="R117" s="19">
        <f>R48*Inputs!$C$61</f>
        <v>1399.9190213992349</v>
      </c>
      <c r="S117" s="19">
        <f>S48*Inputs!$C$61</f>
        <v>1416.2307797861313</v>
      </c>
      <c r="T117" s="19">
        <f>T48*Inputs!$C$61</f>
        <v>1497.5775122037016</v>
      </c>
      <c r="U117" s="19">
        <f>U48*Inputs!$C$61</f>
        <v>1572.4434357336852</v>
      </c>
      <c r="V117" s="19">
        <f>V48*Inputs!$C$61</f>
        <v>1602.2541295148369</v>
      </c>
      <c r="W117" s="19">
        <f>W48*Inputs!$C$61</f>
        <v>1668.235355112874</v>
      </c>
      <c r="X117" s="182">
        <f>X48*Inputs!$C$61</f>
        <v>1720.3260648278824</v>
      </c>
      <c r="Y117" s="206">
        <f>Y48*Inputs!$C$61</f>
        <v>1737.8158901986524</v>
      </c>
      <c r="Z117" s="206">
        <f>Z48*Inputs!$C$61</f>
        <v>1756.2134421519784</v>
      </c>
      <c r="AA117" s="206">
        <f>AA48*Inputs!$C$61</f>
        <v>1769.5037767546105</v>
      </c>
      <c r="AB117" s="206">
        <f>AB48*Inputs!$C$61</f>
        <v>1730.805229443617</v>
      </c>
      <c r="AC117" s="206">
        <f>AC48*Inputs!$C$61</f>
        <v>1762.5235722704697</v>
      </c>
      <c r="AD117" s="206">
        <f>AD48*Inputs!$C$61</f>
        <v>1750.6292202630984</v>
      </c>
      <c r="AE117" s="206">
        <f>AE48*Inputs!$C$61</f>
        <v>1754.4795076828614</v>
      </c>
      <c r="AF117" s="206">
        <f>AF48*Inputs!$C$61</f>
        <v>1775.3297179680612</v>
      </c>
      <c r="AG117" s="206">
        <f>AG48*Inputs!$C$61</f>
        <v>1868.1825323457279</v>
      </c>
      <c r="AH117" s="182">
        <f>AH48*Inputs!$C$61</f>
        <v>1924.910877387601</v>
      </c>
      <c r="AI117" s="31"/>
    </row>
    <row r="118" spans="1:35" s="20" customFormat="1">
      <c r="A118" s="10" t="s">
        <v>58</v>
      </c>
      <c r="B118" s="37"/>
      <c r="C118" s="334">
        <f>SUM(C113,C116,C117)</f>
        <v>7105.7412000000013</v>
      </c>
      <c r="D118" s="334">
        <f>SUM(D113,D116,D117)</f>
        <v>7625.6760694123341</v>
      </c>
      <c r="E118" s="334">
        <f t="shared" ref="E118:AH118" si="90">SUM(E113,E116,E117)</f>
        <v>7544.4982639504724</v>
      </c>
      <c r="F118" s="334">
        <f t="shared" si="90"/>
        <v>7424.5621746659544</v>
      </c>
      <c r="G118" s="334">
        <f t="shared" si="90"/>
        <v>6957.7120020223992</v>
      </c>
      <c r="H118" s="404">
        <f t="shared" si="90"/>
        <v>7101.8981254964347</v>
      </c>
      <c r="I118" s="19">
        <f t="shared" si="90"/>
        <v>7295.3699296227542</v>
      </c>
      <c r="J118" s="19">
        <f t="shared" si="90"/>
        <v>7335.750374853601</v>
      </c>
      <c r="K118" s="19">
        <f t="shared" si="90"/>
        <v>7501.3437970019568</v>
      </c>
      <c r="L118" s="19">
        <f t="shared" si="90"/>
        <v>7405.235355424511</v>
      </c>
      <c r="M118" s="19">
        <f t="shared" si="90"/>
        <v>7574.4767592674352</v>
      </c>
      <c r="N118" s="182">
        <f t="shared" si="90"/>
        <v>7461.4845248281617</v>
      </c>
      <c r="O118" s="19">
        <f t="shared" si="90"/>
        <v>7553.0346309769857</v>
      </c>
      <c r="P118" s="19">
        <f t="shared" si="90"/>
        <v>7607.4265714057155</v>
      </c>
      <c r="Q118" s="19">
        <f t="shared" si="90"/>
        <v>7747.55351954668</v>
      </c>
      <c r="R118" s="19">
        <f t="shared" si="90"/>
        <v>7831.8683987030427</v>
      </c>
      <c r="S118" s="19">
        <f t="shared" si="90"/>
        <v>7875.8882940839349</v>
      </c>
      <c r="T118" s="19">
        <f t="shared" si="90"/>
        <v>7989.2138876458775</v>
      </c>
      <c r="U118" s="19">
        <f t="shared" si="90"/>
        <v>8095.0612372506166</v>
      </c>
      <c r="V118" s="19">
        <f t="shared" si="90"/>
        <v>8131.5375014354022</v>
      </c>
      <c r="W118" s="19">
        <f t="shared" si="90"/>
        <v>8226.7675128382652</v>
      </c>
      <c r="X118" s="182">
        <f t="shared" si="90"/>
        <v>8305.4596485017519</v>
      </c>
      <c r="Y118" s="206">
        <f t="shared" si="90"/>
        <v>8344.757535507104</v>
      </c>
      <c r="Z118" s="206">
        <f t="shared" si="90"/>
        <v>8383.1808630981886</v>
      </c>
      <c r="AA118" s="206">
        <f t="shared" si="90"/>
        <v>8417.5162955333053</v>
      </c>
      <c r="AB118" s="206">
        <f t="shared" si="90"/>
        <v>8384.2650206692797</v>
      </c>
      <c r="AC118" s="206">
        <f t="shared" si="90"/>
        <v>8441.6830502517532</v>
      </c>
      <c r="AD118" s="206">
        <f t="shared" si="90"/>
        <v>8443.063701180261</v>
      </c>
      <c r="AE118" s="206">
        <f t="shared" si="90"/>
        <v>8464.162058495398</v>
      </c>
      <c r="AF118" s="206">
        <f t="shared" si="90"/>
        <v>8507.2838842447563</v>
      </c>
      <c r="AG118" s="206">
        <f t="shared" si="90"/>
        <v>8645.3086327684905</v>
      </c>
      <c r="AH118" s="182">
        <f t="shared" si="90"/>
        <v>8737.3158830788889</v>
      </c>
      <c r="AI118" s="31"/>
    </row>
    <row r="119" spans="1:35" s="1" customFormat="1">
      <c r="A119" s="1" t="s">
        <v>335</v>
      </c>
      <c r="B119" s="13"/>
      <c r="C119" s="341">
        <f>C118-'Output - Jobs vs Yr (BAU)'!C55</f>
        <v>3.3000000000010914</v>
      </c>
      <c r="D119" s="341">
        <f>D118-'Output - Jobs vs Yr (BAU)'!D55</f>
        <v>-13.565130587666317</v>
      </c>
      <c r="E119" s="341">
        <f>E118-'Output - Jobs vs Yr (BAU)'!E55</f>
        <v>-18.948771818010755</v>
      </c>
      <c r="F119" s="341">
        <f>F118-'Output - Jobs vs Yr (BAU)'!F55</f>
        <v>-12.174242602444792</v>
      </c>
      <c r="G119" s="341">
        <f>G118-'Output - Jobs vs Yr (BAU)'!G55</f>
        <v>-9.4128824625213383</v>
      </c>
      <c r="H119" s="405">
        <f>H118-'Output - Jobs vs Yr (BAU)'!H55</f>
        <v>-0.1430000000009386</v>
      </c>
      <c r="I119" s="15">
        <f>I118-'Output - Jobs vs Yr (BAU)'!I55</f>
        <v>-10.052440162557104</v>
      </c>
      <c r="J119" s="15">
        <f>J118-'Output - Jobs vs Yr (BAU)'!J55</f>
        <v>17.38285447029557</v>
      </c>
      <c r="K119" s="15">
        <f>K118-'Output - Jobs vs Yr (BAU)'!K55</f>
        <v>9.4941950621659998</v>
      </c>
      <c r="L119" s="15">
        <f>L118-'Output - Jobs vs Yr (BAU)'!L55</f>
        <v>105.86110332439966</v>
      </c>
      <c r="M119" s="15">
        <f>M118-'Output - Jobs vs Yr (BAU)'!M55</f>
        <v>137.6323694630255</v>
      </c>
      <c r="N119" s="182">
        <f>N118-'Output - Jobs vs Yr (BAU)'!N55</f>
        <v>246.10622742433952</v>
      </c>
      <c r="O119" s="15">
        <f>O118-'Output - Jobs vs Yr (BAU)'!O55</f>
        <v>250.29535233501247</v>
      </c>
      <c r="P119" s="15">
        <f>P118-'Output - Jobs vs Yr (BAU)'!P55</f>
        <v>247.96698785284298</v>
      </c>
      <c r="Q119" s="15">
        <f>Q118-'Output - Jobs vs Yr (BAU)'!Q55</f>
        <v>258.99878332119442</v>
      </c>
      <c r="R119" s="15">
        <f>R118-'Output - Jobs vs Yr (BAU)'!R55</f>
        <v>257.58342302813071</v>
      </c>
      <c r="S119" s="15">
        <f>S118-'Output - Jobs vs Yr (BAU)'!S55</f>
        <v>258.75282732878259</v>
      </c>
      <c r="T119" s="15">
        <f>T118-'Output - Jobs vs Yr (BAU)'!T55</f>
        <v>267.3973657336428</v>
      </c>
      <c r="U119" s="15">
        <f>U118-'Output - Jobs vs Yr (BAU)'!U55</f>
        <v>271.08296858490849</v>
      </c>
      <c r="V119" s="15">
        <f>V118-'Output - Jobs vs Yr (BAU)'!V55</f>
        <v>273.28662980071567</v>
      </c>
      <c r="W119" s="15">
        <f>W118-'Output - Jobs vs Yr (BAU)'!W55</f>
        <v>281.07801798731907</v>
      </c>
      <c r="X119" s="190">
        <f>X118-'Output - Jobs vs Yr (BAU)'!X55</f>
        <v>285.58162297375929</v>
      </c>
      <c r="Y119" s="130">
        <f>Y118-'Output - Jobs vs Yr (BAU)'!Y55</f>
        <v>292.78518243511371</v>
      </c>
      <c r="Z119" s="130">
        <f>Z118-'Output - Jobs vs Yr (BAU)'!Z55</f>
        <v>299.82058111112747</v>
      </c>
      <c r="AA119" s="130">
        <f>AA118-'Output - Jobs vs Yr (BAU)'!AA55</f>
        <v>305.49079633657675</v>
      </c>
      <c r="AB119" s="130">
        <f>AB118-'Output - Jobs vs Yr (BAU)'!AB55</f>
        <v>303.67976168127734</v>
      </c>
      <c r="AC119" s="130">
        <f>AC118-'Output - Jobs vs Yr (BAU)'!AC55</f>
        <v>312.46199960523336</v>
      </c>
      <c r="AD119" s="130">
        <f>AD118-'Output - Jobs vs Yr (BAU)'!AD55</f>
        <v>315.0236705633688</v>
      </c>
      <c r="AE119" s="130">
        <f>AE118-'Output - Jobs vs Yr (BAU)'!AE55</f>
        <v>320.59347822880409</v>
      </c>
      <c r="AF119" s="130">
        <f>AF118-'Output - Jobs vs Yr (BAU)'!AF55</f>
        <v>328.68557886921644</v>
      </c>
      <c r="AG119" s="130">
        <f>AG118-'Output - Jobs vs Yr (BAU)'!AG55</f>
        <v>347.04239603997303</v>
      </c>
      <c r="AH119" s="190">
        <f>AH118-'Output - Jobs vs Yr (BAU)'!AH55</f>
        <v>361.57429367730219</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10.155958417899967</v>
      </c>
    </row>
    <row r="123" spans="1:35" hidden="1">
      <c r="W123" s="2" t="s">
        <v>134</v>
      </c>
      <c r="X123" s="187">
        <f>X115-'Output - Jobs vs Yr (BAU)'!X51</f>
        <v>716.336834222486</v>
      </c>
    </row>
    <row r="124" spans="1:35" hidden="1">
      <c r="W124" s="2" t="s">
        <v>137</v>
      </c>
      <c r="X124" s="187">
        <f>SUM(X101,X106,X111)</f>
        <v>0</v>
      </c>
    </row>
    <row r="125" spans="1:35" hidden="1">
      <c r="W125" s="2" t="s">
        <v>132</v>
      </c>
      <c r="X125" s="187">
        <f>SUM(X121:X124)</f>
        <v>726.49279264038591</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188.18865</v>
      </c>
      <c r="D129" s="331">
        <f>D102*Inputs!$H48</f>
        <v>210.91681073727653</v>
      </c>
      <c r="E129" s="331">
        <f>E102*Inputs!$H48</f>
        <v>215.95934028781807</v>
      </c>
      <c r="F129" s="331">
        <f>F102*Inputs!$H48</f>
        <v>220.39171834966308</v>
      </c>
      <c r="G129" s="331">
        <f>G102*Inputs!$H48</f>
        <v>215.3236476527681</v>
      </c>
      <c r="H129" s="402">
        <f>H102*Inputs!$H48</f>
        <v>270.86939486574107</v>
      </c>
      <c r="I129" s="14">
        <f>I102*Inputs!$H48</f>
        <v>279.27846730438171</v>
      </c>
      <c r="J129" s="14">
        <f>J102*Inputs!$H48</f>
        <v>281.72388696660249</v>
      </c>
      <c r="K129" s="14">
        <f>K102*Inputs!$H48</f>
        <v>288.7376968870654</v>
      </c>
      <c r="L129" s="14">
        <f>L102*Inputs!$H48</f>
        <v>285.54741769713456</v>
      </c>
      <c r="M129" s="14">
        <f>M102*Inputs!$H48</f>
        <v>292.21215710075393</v>
      </c>
      <c r="N129" s="182">
        <f>N102*Inputs!$H48</f>
        <v>287.72387754997482</v>
      </c>
      <c r="O129" s="14">
        <f>O102*Inputs!$H48</f>
        <v>288.88960324512061</v>
      </c>
      <c r="P129" s="14">
        <f>P102*Inputs!$H48</f>
        <v>288.59569923982497</v>
      </c>
      <c r="Q129" s="14">
        <f>Q102*Inputs!$H48</f>
        <v>291.48264094394796</v>
      </c>
      <c r="R129" s="14">
        <f>R102*Inputs!$H48</f>
        <v>292.2130187541843</v>
      </c>
      <c r="S129" s="14">
        <f>S102*Inputs!$H48</f>
        <v>291.40651458448758</v>
      </c>
      <c r="T129" s="14">
        <f>T102*Inputs!$H48</f>
        <v>293.09689937893847</v>
      </c>
      <c r="U129" s="14">
        <f>U102*Inputs!$H48</f>
        <v>294.44600837830308</v>
      </c>
      <c r="V129" s="14">
        <f>V102*Inputs!$H48</f>
        <v>293.24239496940294</v>
      </c>
      <c r="W129" s="14">
        <f>W102*Inputs!$H48</f>
        <v>294.10908753520221</v>
      </c>
      <c r="X129" s="187">
        <f>X102*Inputs!$H48</f>
        <v>294.33514431834004</v>
      </c>
      <c r="Y129" s="158">
        <f>Y102*Inputs!$H48</f>
        <v>294.34419327214164</v>
      </c>
      <c r="Z129" s="158">
        <f>Z102*Inputs!$H48</f>
        <v>294.30754222424378</v>
      </c>
      <c r="AA129" s="158">
        <f>AA102*Inputs!$H48</f>
        <v>294.11399329552899</v>
      </c>
      <c r="AB129" s="158">
        <f>AB102*Inputs!$H48</f>
        <v>291.57026924328022</v>
      </c>
      <c r="AC129" s="158">
        <f>AC102*Inputs!$H48</f>
        <v>292.15568457067485</v>
      </c>
      <c r="AD129" s="158">
        <f>AD102*Inputs!$H48</f>
        <v>290.80032349613896</v>
      </c>
      <c r="AE129" s="158">
        <f>AE102*Inputs!$H48</f>
        <v>290.11489204566067</v>
      </c>
      <c r="AF129" s="158">
        <f>AF102*Inputs!$H48</f>
        <v>290.16779178643219</v>
      </c>
      <c r="AG129" s="158">
        <f>AG102*Inputs!$H48</f>
        <v>293.40645897019635</v>
      </c>
      <c r="AH129" s="187">
        <f>AH102*Inputs!$H48</f>
        <v>295.04848013029516</v>
      </c>
    </row>
    <row r="130" spans="1:35">
      <c r="A130" s="10" t="s">
        <v>59</v>
      </c>
      <c r="B130" s="35">
        <v>0</v>
      </c>
      <c r="C130" s="331">
        <f>C103*Inputs!$H53</f>
        <v>1598.0580000000002</v>
      </c>
      <c r="D130" s="331">
        <f>D103*Inputs!$H53</f>
        <v>1596.2171689592265</v>
      </c>
      <c r="E130" s="331">
        <f>E103*Inputs!$H53</f>
        <v>1451.3038410838853</v>
      </c>
      <c r="F130" s="331">
        <f>F103*Inputs!$H53</f>
        <v>1309.0331656674475</v>
      </c>
      <c r="G130" s="331">
        <f>G103*Inputs!$H53</f>
        <v>1123.6183157054043</v>
      </c>
      <c r="H130" s="402">
        <f>H103*Inputs!$H53</f>
        <v>1270.2890088000001</v>
      </c>
      <c r="I130" s="14">
        <f>I103*Inputs!$H53</f>
        <v>1152.6819419078097</v>
      </c>
      <c r="J130" s="14">
        <f>J103*Inputs!$H53</f>
        <v>1005.6312817628828</v>
      </c>
      <c r="K130" s="14">
        <f>K103*Inputs!$H53</f>
        <v>870.90170261178093</v>
      </c>
      <c r="L130" s="14">
        <f>L103*Inputs!$H53</f>
        <v>704.53919616434484</v>
      </c>
      <c r="M130" s="14">
        <f>M103*Inputs!$H53</f>
        <v>561.85982678131018</v>
      </c>
      <c r="N130" s="182">
        <f>N103*Inputs!$H53</f>
        <v>397.79071920000013</v>
      </c>
      <c r="O130" s="14">
        <f>O103*Inputs!$H53</f>
        <v>399.40238544963699</v>
      </c>
      <c r="P130" s="14">
        <f>P103*Inputs!$H53</f>
        <v>398.99605043622819</v>
      </c>
      <c r="Q130" s="14">
        <f>Q103*Inputs!$H53</f>
        <v>402.987372347188</v>
      </c>
      <c r="R130" s="14">
        <f>R103*Inputs!$H53</f>
        <v>403.9971512953087</v>
      </c>
      <c r="S130" s="14">
        <f>S103*Inputs!$H53</f>
        <v>402.88212435895122</v>
      </c>
      <c r="T130" s="14">
        <f>T103*Inputs!$H53</f>
        <v>405.21915453119527</v>
      </c>
      <c r="U130" s="14">
        <f>U103*Inputs!$H53</f>
        <v>407.08435613943936</v>
      </c>
      <c r="V130" s="14">
        <f>V103*Inputs!$H53</f>
        <v>405.42030848499326</v>
      </c>
      <c r="W130" s="14">
        <f>W103*Inputs!$H53</f>
        <v>406.61854848512911</v>
      </c>
      <c r="X130" s="187">
        <f>X103*Inputs!$H53</f>
        <v>406.93108177611009</v>
      </c>
      <c r="Y130" s="158">
        <f>Y103*Inputs!$H53</f>
        <v>406.94359234656196</v>
      </c>
      <c r="Z130" s="158">
        <f>Z103*Inputs!$H53</f>
        <v>406.89292068584723</v>
      </c>
      <c r="AA130" s="158">
        <f>AA103*Inputs!$H53</f>
        <v>406.62533091120116</v>
      </c>
      <c r="AB130" s="158">
        <f>AB103*Inputs!$H53</f>
        <v>403.10852226533336</v>
      </c>
      <c r="AC130" s="158">
        <f>AC103*Inputs!$H53</f>
        <v>403.91788430402823</v>
      </c>
      <c r="AD130" s="158">
        <f>AD103*Inputs!$H53</f>
        <v>402.04403893114392</v>
      </c>
      <c r="AE130" s="158">
        <f>AE103*Inputs!$H53</f>
        <v>401.0964002715728</v>
      </c>
      <c r="AF130" s="158">
        <f>AF103*Inputs!$H53</f>
        <v>401.16953645375611</v>
      </c>
      <c r="AG130" s="158">
        <f>AG103*Inputs!$H53</f>
        <v>405.647134070086</v>
      </c>
      <c r="AH130" s="187">
        <f>AH103*Inputs!$H53</f>
        <v>407.91729942368602</v>
      </c>
    </row>
    <row r="131" spans="1:35">
      <c r="A131" s="10" t="s">
        <v>121</v>
      </c>
      <c r="B131" s="35">
        <v>1</v>
      </c>
      <c r="C131" s="330">
        <f>Inputs!$H46*'Output -Jobs vs Yr'!C104</f>
        <v>145.34099999999998</v>
      </c>
      <c r="D131" s="330">
        <f>Inputs!$H46*'Output -Jobs vs Yr'!D104</f>
        <v>177.81049378738351</v>
      </c>
      <c r="E131" s="330">
        <f>Inputs!$H46*'Output -Jobs vs Yr'!E104</f>
        <v>229.07521398270984</v>
      </c>
      <c r="F131" s="330">
        <f>Inputs!$H46*'Output -Jobs vs Yr'!F104</f>
        <v>253.84340395747418</v>
      </c>
      <c r="G131" s="330">
        <f>Inputs!$H46*'Output -Jobs vs Yr'!G104</f>
        <v>267.92939119752265</v>
      </c>
      <c r="H131" s="286">
        <f>Inputs!$H46*'Output -Jobs vs Yr'!H104</f>
        <v>303.86272368341918</v>
      </c>
      <c r="I131" s="40">
        <f>Inputs!$H46*'Output -Jobs vs Yr'!I104</f>
        <v>355.88414240055585</v>
      </c>
      <c r="J131" s="40">
        <f>Inputs!$H46*'Output -Jobs vs Yr'!J104</f>
        <v>407.8078985406928</v>
      </c>
      <c r="K131" s="40">
        <f>Inputs!$H46*'Output -Jobs vs Yr'!K104</f>
        <v>474.79184403759348</v>
      </c>
      <c r="L131" s="40">
        <f>Inputs!$H46*'Output -Jobs vs Yr'!L104</f>
        <v>533.39970075353256</v>
      </c>
      <c r="M131" s="40">
        <f>Inputs!$H46*'Output -Jobs vs Yr'!M104</f>
        <v>620.08966337859067</v>
      </c>
      <c r="N131" s="177">
        <f>Inputs!$H46*'Output -Jobs vs Yr'!N104</f>
        <v>693.61847888888678</v>
      </c>
      <c r="O131" s="40">
        <f>Inputs!$H46*'Output -Jobs vs Yr'!O104</f>
        <v>707.42971450256994</v>
      </c>
      <c r="P131" s="40">
        <f>Inputs!$H46*'Output -Jobs vs Yr'!P104</f>
        <v>717.91596658231356</v>
      </c>
      <c r="Q131" s="40">
        <f>Inputs!$H46*'Output -Jobs vs Yr'!Q104</f>
        <v>736.63943304125348</v>
      </c>
      <c r="R131" s="40">
        <f>Inputs!$H46*'Output -Jobs vs Yr'!R104</f>
        <v>750.28607633747652</v>
      </c>
      <c r="S131" s="40">
        <f>Inputs!$H46*'Output -Jobs vs Yr'!S104</f>
        <v>760.21880731916337</v>
      </c>
      <c r="T131" s="40">
        <f>Inputs!$H46*'Output -Jobs vs Yr'!T104</f>
        <v>776.94451080517319</v>
      </c>
      <c r="U131" s="40">
        <f>Inputs!$H46*'Output -Jobs vs Yr'!U104</f>
        <v>793.14339930479696</v>
      </c>
      <c r="V131" s="40">
        <f>Inputs!$H46*'Output -Jobs vs Yr'!V104</f>
        <v>802.72789596650694</v>
      </c>
      <c r="W131" s="40">
        <f>Inputs!$H46*'Output -Jobs vs Yr'!W104</f>
        <v>818.22802196350392</v>
      </c>
      <c r="X131" s="184">
        <f>Inputs!$H46*'Output -Jobs vs Yr'!X104</f>
        <v>832.26486221220284</v>
      </c>
      <c r="Y131" s="271">
        <f>Inputs!$H46*'Output -Jobs vs Yr'!Y104</f>
        <v>847.29879929792367</v>
      </c>
      <c r="Z131" s="271">
        <f>Inputs!$H46*'Output -Jobs vs Yr'!Z104</f>
        <v>862.4813638268032</v>
      </c>
      <c r="AA131" s="271">
        <f>Inputs!$H46*'Output -Jobs vs Yr'!AA104</f>
        <v>877.47912657266602</v>
      </c>
      <c r="AB131" s="271">
        <f>Inputs!$H46*'Output -Jobs vs Yr'!AB104</f>
        <v>885.61044965083556</v>
      </c>
      <c r="AC131" s="271">
        <f>Inputs!$H46*'Output -Jobs vs Yr'!AC104</f>
        <v>903.43700013866533</v>
      </c>
      <c r="AD131" s="271">
        <f>Inputs!$H46*'Output -Jobs vs Yr'!AD104</f>
        <v>915.52065301859761</v>
      </c>
      <c r="AE131" s="271">
        <f>Inputs!$H46*'Output -Jobs vs Yr'!AE104</f>
        <v>929.90534420265635</v>
      </c>
      <c r="AF131" s="271">
        <f>Inputs!$H46*'Output -Jobs vs Yr'!AF104</f>
        <v>946.9328015485662</v>
      </c>
      <c r="AG131" s="271">
        <f>Inputs!$H46*'Output -Jobs vs Yr'!AG104</f>
        <v>974.86993549154863</v>
      </c>
      <c r="AH131" s="184">
        <f>Inputs!$H46*'Output -Jobs vs Yr'!AH104</f>
        <v>998.12124420171176</v>
      </c>
    </row>
    <row r="132" spans="1:35">
      <c r="A132" s="10" t="s">
        <v>50</v>
      </c>
      <c r="B132" s="35">
        <v>1</v>
      </c>
      <c r="C132" s="331">
        <f>C105*Inputs!$H49</f>
        <v>0</v>
      </c>
      <c r="D132" s="331">
        <f>D105*Inputs!$H49</f>
        <v>0</v>
      </c>
      <c r="E132" s="331">
        <f>E105*Inputs!$H49</f>
        <v>2.2500000000000003E-8</v>
      </c>
      <c r="F132" s="331">
        <f>F105*Inputs!$H49</f>
        <v>2.2500000000000003E-8</v>
      </c>
      <c r="G132" s="331">
        <f>G105*Inputs!$H49</f>
        <v>2.2500000000000003E-8</v>
      </c>
      <c r="H132" s="402">
        <f>H105*Inputs!$H49</f>
        <v>2.2500000000000003E-8</v>
      </c>
      <c r="I132" s="14">
        <f>I105*Inputs!$H49</f>
        <v>2.5210911960223493E-8</v>
      </c>
      <c r="J132" s="14">
        <f>J105*Inputs!$H49</f>
        <v>2.7638239689132959E-8</v>
      </c>
      <c r="K132" s="14">
        <f>K105*Inputs!$H49</f>
        <v>3.0784550942445713E-8</v>
      </c>
      <c r="L132" s="14">
        <f>L105*Inputs!$H49</f>
        <v>3.3086982942660245E-8</v>
      </c>
      <c r="M132" s="14">
        <f>M105*Inputs!$H49</f>
        <v>3.6798805262100083E-8</v>
      </c>
      <c r="N132" s="182">
        <f>N105*Inputs!$H49</f>
        <v>3.9379909039512492E-8</v>
      </c>
      <c r="O132" s="14">
        <f>O105*Inputs!$H49</f>
        <v>4.0164036364178613E-8</v>
      </c>
      <c r="P132" s="14">
        <f>P105*Inputs!$H49</f>
        <v>4.075938909141162E-8</v>
      </c>
      <c r="Q132" s="14">
        <f>Q105*Inputs!$H49</f>
        <v>4.1822406338643196E-8</v>
      </c>
      <c r="R132" s="14">
        <f>R105*Inputs!$H49</f>
        <v>4.2597189000951732E-8</v>
      </c>
      <c r="S132" s="14">
        <f>S105*Inputs!$H49</f>
        <v>4.3161115791367357E-8</v>
      </c>
      <c r="T132" s="14">
        <f>T105*Inputs!$H49</f>
        <v>4.4110710852554362E-8</v>
      </c>
      <c r="U132" s="14">
        <f>U105*Inputs!$H49</f>
        <v>4.5030396205629531E-8</v>
      </c>
      <c r="V132" s="14">
        <f>V105*Inputs!$H49</f>
        <v>4.5574552133153658E-8</v>
      </c>
      <c r="W132" s="14">
        <f>W105*Inputs!$H49</f>
        <v>4.6454565527318871E-8</v>
      </c>
      <c r="X132" s="187">
        <f>X105*Inputs!$H49</f>
        <v>4.7251501464033529E-8</v>
      </c>
      <c r="Y132" s="158">
        <f>Y105*Inputs!$H49</f>
        <v>4.8105047171019067E-8</v>
      </c>
      <c r="Z132" s="158">
        <f>Z105*Inputs!$H49</f>
        <v>4.8967031141070668E-8</v>
      </c>
      <c r="AA132" s="158">
        <f>AA105*Inputs!$H49</f>
        <v>4.9818523064518812E-8</v>
      </c>
      <c r="AB132" s="158">
        <f>AB105*Inputs!$H49</f>
        <v>5.028017564866299E-8</v>
      </c>
      <c r="AC132" s="158">
        <f>AC105*Inputs!$H49</f>
        <v>5.1292270853830473E-8</v>
      </c>
      <c r="AD132" s="158">
        <f>AD105*Inputs!$H49</f>
        <v>5.1978315366426289E-8</v>
      </c>
      <c r="AE132" s="158">
        <f>AE105*Inputs!$H49</f>
        <v>5.2795000399525666E-8</v>
      </c>
      <c r="AF132" s="158">
        <f>AF105*Inputs!$H49</f>
        <v>5.3761727414253193E-8</v>
      </c>
      <c r="AG132" s="158">
        <f>AG105*Inputs!$H49</f>
        <v>5.5347846912196334E-8</v>
      </c>
      <c r="AH132" s="187">
        <f>AH105*Inputs!$H49</f>
        <v>5.6667930574792243E-8</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66.015000000000001</v>
      </c>
      <c r="D134" s="331">
        <f>D107*Inputs!$H52</f>
        <v>77.503756371019563</v>
      </c>
      <c r="E134" s="331">
        <f>E107*Inputs!$H52</f>
        <v>108.28957990329111</v>
      </c>
      <c r="F134" s="331">
        <f>F107*Inputs!$H52</f>
        <v>116.79440469839791</v>
      </c>
      <c r="G134" s="331">
        <f>G107*Inputs!$H52</f>
        <v>91.906768720939155</v>
      </c>
      <c r="H134" s="402">
        <f>H107*Inputs!$H52</f>
        <v>48.978521103087679</v>
      </c>
      <c r="I134" s="14">
        <f>I107*Inputs!$H52</f>
        <v>55.048787604918083</v>
      </c>
      <c r="J134" s="14">
        <f>J107*Inputs!$H52</f>
        <v>60.534872894368746</v>
      </c>
      <c r="K134" s="14">
        <f>K107*Inputs!$H52</f>
        <v>67.633853449666518</v>
      </c>
      <c r="L134" s="14">
        <f>L107*Inputs!$H52</f>
        <v>72.916284383754657</v>
      </c>
      <c r="M134" s="14">
        <f>M107*Inputs!$H52</f>
        <v>81.346174604888702</v>
      </c>
      <c r="N134" s="182">
        <f>N107*Inputs!$H52</f>
        <v>87.320090617716772</v>
      </c>
      <c r="O134" s="14">
        <f>O107*Inputs!$H52</f>
        <v>89.058796234760578</v>
      </c>
      <c r="P134" s="14">
        <f>P107*Inputs!$H52</f>
        <v>90.378917468136933</v>
      </c>
      <c r="Q134" s="14">
        <f>Q107*Inputs!$H52</f>
        <v>92.736027086224723</v>
      </c>
      <c r="R134" s="14">
        <f>R107*Inputs!$H52</f>
        <v>94.454012067193972</v>
      </c>
      <c r="S134" s="14">
        <f>S107*Inputs!$H52</f>
        <v>95.704450162199294</v>
      </c>
      <c r="T134" s="14">
        <f>T107*Inputs!$H52</f>
        <v>97.810060073836908</v>
      </c>
      <c r="U134" s="14">
        <f>U107*Inputs!$H52</f>
        <v>99.849348897224843</v>
      </c>
      <c r="V134" s="14">
        <f>V107*Inputs!$H52</f>
        <v>101.05594754258733</v>
      </c>
      <c r="W134" s="14">
        <f>W107*Inputs!$H52</f>
        <v>103.0072686907954</v>
      </c>
      <c r="X134" s="187">
        <f>X107*Inputs!$H52</f>
        <v>104.77437582506064</v>
      </c>
      <c r="Y134" s="158">
        <f>Y107*Inputs!$H52</f>
        <v>106.66700814184831</v>
      </c>
      <c r="Z134" s="158">
        <f>Z107*Inputs!$H52</f>
        <v>108.57835126608975</v>
      </c>
      <c r="AA134" s="158">
        <f>AA107*Inputs!$H52</f>
        <v>110.46642957122606</v>
      </c>
      <c r="AB134" s="158">
        <f>AB107*Inputs!$H52</f>
        <v>111.49008722977794</v>
      </c>
      <c r="AC134" s="158">
        <f>AC107*Inputs!$H52</f>
        <v>113.73428350103666</v>
      </c>
      <c r="AD134" s="158">
        <f>AD107*Inputs!$H52</f>
        <v>115.25550258124193</v>
      </c>
      <c r="AE134" s="158">
        <f>AE107*Inputs!$H52</f>
        <v>117.06640090060617</v>
      </c>
      <c r="AF134" s="158">
        <f>AF107*Inputs!$H52</f>
        <v>119.2099988059214</v>
      </c>
      <c r="AG134" s="158">
        <f>AG107*Inputs!$H52</f>
        <v>122.72702313809943</v>
      </c>
      <c r="AH134" s="187">
        <f>AH107*Inputs!$H52</f>
        <v>125.65414582203415</v>
      </c>
    </row>
    <row r="135" spans="1:35">
      <c r="A135" s="9" t="s">
        <v>347</v>
      </c>
      <c r="B135" s="35">
        <v>1</v>
      </c>
      <c r="C135" s="331">
        <f>C108*Inputs!$H54</f>
        <v>0</v>
      </c>
      <c r="D135" s="331">
        <f>D108*Inputs!$H54</f>
        <v>0</v>
      </c>
      <c r="E135" s="331">
        <f>E108*Inputs!$H54</f>
        <v>0.14220000000000002</v>
      </c>
      <c r="F135" s="331">
        <f>F108*Inputs!$H54</f>
        <v>0.14220000000000002</v>
      </c>
      <c r="G135" s="331">
        <f>G108*Inputs!$H54</f>
        <v>0.14220000000000002</v>
      </c>
      <c r="H135" s="402">
        <f>H108*Inputs!$H54</f>
        <v>0.14220000000000002</v>
      </c>
      <c r="I135" s="14">
        <f>I108*Inputs!$H54</f>
        <v>0.15933296358861246</v>
      </c>
      <c r="J135" s="14">
        <f>J108*Inputs!$H54</f>
        <v>0.17467367483532026</v>
      </c>
      <c r="K135" s="14">
        <f>K108*Inputs!$H54</f>
        <v>0.19455836195625684</v>
      </c>
      <c r="L135" s="14">
        <f>L108*Inputs!$H54</f>
        <v>0.2091097321976127</v>
      </c>
      <c r="M135" s="14">
        <f>M108*Inputs!$H54</f>
        <v>0.23256844925647244</v>
      </c>
      <c r="N135" s="182">
        <f>N108*Inputs!$H54</f>
        <v>0.24888102512971894</v>
      </c>
      <c r="O135" s="14">
        <f>O108*Inputs!$H54</f>
        <v>0.25383670982160872</v>
      </c>
      <c r="P135" s="14">
        <f>P108*Inputs!$H54</f>
        <v>0.25759933905772131</v>
      </c>
      <c r="Q135" s="14">
        <f>Q108*Inputs!$H54</f>
        <v>0.26431760806022486</v>
      </c>
      <c r="R135" s="14">
        <f>R108*Inputs!$H54</f>
        <v>0.26921423448601484</v>
      </c>
      <c r="S135" s="14">
        <f>S108*Inputs!$H54</f>
        <v>0.27277825180144155</v>
      </c>
      <c r="T135" s="14">
        <f>T108*Inputs!$H54</f>
        <v>0.27877969258814345</v>
      </c>
      <c r="U135" s="14">
        <f>U108*Inputs!$H54</f>
        <v>0.28459210401957852</v>
      </c>
      <c r="V135" s="14">
        <f>V108*Inputs!$H54</f>
        <v>0.28803116948153096</v>
      </c>
      <c r="W135" s="14">
        <f>W108*Inputs!$H54</f>
        <v>0.29359285413265507</v>
      </c>
      <c r="X135" s="187">
        <f>X108*Inputs!$H54</f>
        <v>0.29862948925269184</v>
      </c>
      <c r="Y135" s="158">
        <f>Y108*Inputs!$H54</f>
        <v>0.30402389812084041</v>
      </c>
      <c r="Z135" s="158">
        <f>Z108*Inputs!$H54</f>
        <v>0.30947163681156659</v>
      </c>
      <c r="AA135" s="158">
        <f>AA108*Inputs!$H54</f>
        <v>0.31485306576775879</v>
      </c>
      <c r="AB135" s="158">
        <f>AB108*Inputs!$H54</f>
        <v>0.31777071009954994</v>
      </c>
      <c r="AC135" s="158">
        <f>AC108*Inputs!$H54</f>
        <v>0.32416715179620847</v>
      </c>
      <c r="AD135" s="158">
        <f>AD108*Inputs!$H54</f>
        <v>0.32850295311581401</v>
      </c>
      <c r="AE135" s="158">
        <f>AE108*Inputs!$H54</f>
        <v>0.33366440252500212</v>
      </c>
      <c r="AF135" s="158">
        <f>AF108*Inputs!$H54</f>
        <v>0.3397741172580801</v>
      </c>
      <c r="AG135" s="158">
        <f>AG108*Inputs!$H54</f>
        <v>0.34979839248508071</v>
      </c>
      <c r="AH135" s="187">
        <f>AH108*Inputs!$H54</f>
        <v>0.35814132123268705</v>
      </c>
    </row>
    <row r="136" spans="1:35">
      <c r="A136" s="9" t="s">
        <v>348</v>
      </c>
      <c r="B136" s="35">
        <v>1</v>
      </c>
      <c r="C136" s="331">
        <f>C109*Inputs!$H55</f>
        <v>0</v>
      </c>
      <c r="D136" s="331">
        <f>D109*Inputs!$H55</f>
        <v>0</v>
      </c>
      <c r="E136" s="331">
        <f>E109*Inputs!$H55</f>
        <v>2.0700000000000003E-2</v>
      </c>
      <c r="F136" s="331">
        <f>F109*Inputs!$H55</f>
        <v>2.0700000000000003E-2</v>
      </c>
      <c r="G136" s="331">
        <f>G109*Inputs!$H55</f>
        <v>2.0700000000000003E-2</v>
      </c>
      <c r="H136" s="402">
        <f>H109*Inputs!$H55</f>
        <v>2.0700000000000003E-2</v>
      </c>
      <c r="I136" s="14">
        <f>I109*Inputs!$H55</f>
        <v>2.3194039003405609E-2</v>
      </c>
      <c r="J136" s="14">
        <f>J109*Inputs!$H55</f>
        <v>2.5427180514002317E-2</v>
      </c>
      <c r="K136" s="14">
        <f>K109*Inputs!$H55</f>
        <v>2.8321786867050048E-2</v>
      </c>
      <c r="L136" s="14">
        <f>L109*Inputs!$H55</f>
        <v>3.0440024307247418E-2</v>
      </c>
      <c r="M136" s="14">
        <f>M109*Inputs!$H55</f>
        <v>3.3854900841132067E-2</v>
      </c>
      <c r="N136" s="187">
        <f>N109*Inputs!$H55</f>
        <v>3.622951631635149E-2</v>
      </c>
      <c r="O136" s="14">
        <f>O109*Inputs!$H55</f>
        <v>3.6950913455044303E-2</v>
      </c>
      <c r="P136" s="14">
        <f>P109*Inputs!$H55</f>
        <v>3.7498637964098663E-2</v>
      </c>
      <c r="Q136" s="14">
        <f>Q109*Inputs!$H55</f>
        <v>3.8476613831551723E-2</v>
      </c>
      <c r="R136" s="14">
        <f>R109*Inputs!$H55</f>
        <v>3.9189413880875573E-2</v>
      </c>
      <c r="S136" s="14">
        <f>S109*Inputs!$H55</f>
        <v>3.9708226528057951E-2</v>
      </c>
      <c r="T136" s="14">
        <f>T109*Inputs!$H55</f>
        <v>4.0581853984349991E-2</v>
      </c>
      <c r="U136" s="14">
        <f>U109*Inputs!$H55</f>
        <v>4.1427964509179155E-2</v>
      </c>
      <c r="V136" s="14">
        <f>V109*Inputs!$H55</f>
        <v>4.1928587962501339E-2</v>
      </c>
      <c r="W136" s="14">
        <f>W109*Inputs!$H55</f>
        <v>4.2738200285133338E-2</v>
      </c>
      <c r="X136" s="187">
        <f>X109*Inputs!$H55</f>
        <v>4.3471381346910844E-2</v>
      </c>
      <c r="Y136" s="158">
        <f>Y109*Inputs!$H55</f>
        <v>4.4256643397337536E-2</v>
      </c>
      <c r="Z136" s="158">
        <f>Z109*Inputs!$H55</f>
        <v>4.5049668649785005E-2</v>
      </c>
      <c r="AA136" s="158">
        <f>AA109*Inputs!$H55</f>
        <v>4.5833041219357294E-2</v>
      </c>
      <c r="AB136" s="158">
        <f>AB109*Inputs!$H55</f>
        <v>4.6257761596769933E-2</v>
      </c>
      <c r="AC136" s="158">
        <f>AC109*Inputs!$H55</f>
        <v>4.7188889185524018E-2</v>
      </c>
      <c r="AD136" s="158">
        <f>AD109*Inputs!$H55</f>
        <v>4.7820050137112172E-2</v>
      </c>
      <c r="AE136" s="158">
        <f>AE109*Inputs!$H55</f>
        <v>4.8571400367563598E-2</v>
      </c>
      <c r="AF136" s="158">
        <f>AF109*Inputs!$H55</f>
        <v>4.9460789221112925E-2</v>
      </c>
      <c r="AG136" s="158">
        <f>AG109*Inputs!$H55</f>
        <v>5.0920019159220613E-2</v>
      </c>
      <c r="AH136" s="187">
        <f>AH109*Inputs!$H55</f>
        <v>5.2134496128808869E-2</v>
      </c>
    </row>
    <row r="137" spans="1:35">
      <c r="A137" s="9" t="s">
        <v>344</v>
      </c>
      <c r="B137" s="35">
        <v>1</v>
      </c>
      <c r="C137" s="331">
        <f>C110*Inputs!$H56</f>
        <v>2.16E-3</v>
      </c>
      <c r="D137" s="331">
        <f>D110*Inputs!$H56</f>
        <v>2.5281208024063931E-3</v>
      </c>
      <c r="E137" s="331">
        <f>E110*Inputs!$H56</f>
        <v>2.7082347827853551E-3</v>
      </c>
      <c r="F137" s="331">
        <f>F110*Inputs!$H56</f>
        <v>2.8965030671962871E-3</v>
      </c>
      <c r="G137" s="331">
        <f>G110*Inputs!$H56</f>
        <v>2.9703963857749412E-3</v>
      </c>
      <c r="H137" s="402">
        <f>H110*Inputs!$H56</f>
        <v>2.16E-3</v>
      </c>
      <c r="I137" s="14">
        <f>I110*Inputs!$H56</f>
        <v>2.4202475481814555E-3</v>
      </c>
      <c r="J137" s="14">
        <f>J110*Inputs!$H56</f>
        <v>2.6532710101567643E-3</v>
      </c>
      <c r="K137" s="14">
        <f>K110*Inputs!$H56</f>
        <v>2.955316890474788E-3</v>
      </c>
      <c r="L137" s="14">
        <f>L110*Inputs!$H56</f>
        <v>3.1763503624953841E-3</v>
      </c>
      <c r="M137" s="14">
        <f>M110*Inputs!$H56</f>
        <v>3.532685305161608E-3</v>
      </c>
      <c r="N137" s="187">
        <f>N110*Inputs!$H56</f>
        <v>3.7804712677931996E-3</v>
      </c>
      <c r="O137" s="14">
        <f>O110*Inputs!$H56</f>
        <v>3.855747490961146E-3</v>
      </c>
      <c r="P137" s="14">
        <f>P110*Inputs!$H56</f>
        <v>3.9129013527755153E-3</v>
      </c>
      <c r="Q137" s="14">
        <f>Q110*Inputs!$H56</f>
        <v>4.0149510085097468E-3</v>
      </c>
      <c r="R137" s="14">
        <f>R110*Inputs!$H56</f>
        <v>4.089330144091366E-3</v>
      </c>
      <c r="S137" s="14">
        <f>S110*Inputs!$H56</f>
        <v>4.1434671159712669E-3</v>
      </c>
      <c r="T137" s="14">
        <f>T110*Inputs!$H56</f>
        <v>4.234628241845219E-3</v>
      </c>
      <c r="U137" s="14">
        <f>U110*Inputs!$H56</f>
        <v>4.3229180357404352E-3</v>
      </c>
      <c r="V137" s="14">
        <f>V110*Inputs!$H56</f>
        <v>4.3751570047827508E-3</v>
      </c>
      <c r="W137" s="14">
        <f>W110*Inputs!$H56</f>
        <v>4.4596382906226112E-3</v>
      </c>
      <c r="X137" s="187">
        <f>X110*Inputs!$H56</f>
        <v>4.5361441405472186E-3</v>
      </c>
      <c r="Y137" s="158">
        <f>Y110*Inputs!$H56</f>
        <v>4.6180845284178301E-3</v>
      </c>
      <c r="Z137" s="158">
        <f>Z110*Inputs!$H56</f>
        <v>4.7008349895427855E-3</v>
      </c>
      <c r="AA137" s="158">
        <f>AA110*Inputs!$H56</f>
        <v>4.7825782141938051E-3</v>
      </c>
      <c r="AB137" s="158">
        <f>AB110*Inputs!$H56</f>
        <v>4.8268968622716462E-3</v>
      </c>
      <c r="AC137" s="158">
        <f>AC110*Inputs!$H56</f>
        <v>4.9240580019677248E-3</v>
      </c>
      <c r="AD137" s="158">
        <f>AD110*Inputs!$H56</f>
        <v>4.9899182751769232E-3</v>
      </c>
      <c r="AE137" s="158">
        <f>AE110*Inputs!$H56</f>
        <v>5.0683200383544631E-3</v>
      </c>
      <c r="AF137" s="158">
        <f>AF110*Inputs!$H56</f>
        <v>5.1611258317683061E-3</v>
      </c>
      <c r="AG137" s="158">
        <f>AG110*Inputs!$H56</f>
        <v>5.3133933035708486E-3</v>
      </c>
      <c r="AH137" s="187">
        <f>AH110*Inputs!$H56</f>
        <v>5.4401213351800573E-3</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160.95600000000002</v>
      </c>
      <c r="D139" s="331">
        <f>D112*Inputs!$H57</f>
        <v>197.51004009115533</v>
      </c>
      <c r="E139" s="331">
        <f>E112*Inputs!$H57</f>
        <v>221.82761097440275</v>
      </c>
      <c r="F139" s="331">
        <f>F112*Inputs!$H57</f>
        <v>248.73747340711182</v>
      </c>
      <c r="G139" s="331">
        <f>G112*Inputs!$H57</f>
        <v>267.43581598220345</v>
      </c>
      <c r="H139" s="402">
        <f>H112*Inputs!$H57</f>
        <v>200.64483552896732</v>
      </c>
      <c r="I139" s="14">
        <f>I112*Inputs!$H57</f>
        <v>240.82243519900791</v>
      </c>
      <c r="J139" s="14">
        <f>J112*Inputs!$H57</f>
        <v>270.9141676932702</v>
      </c>
      <c r="K139" s="14">
        <f>K112*Inputs!$H57</f>
        <v>316.36767064876358</v>
      </c>
      <c r="L139" s="14">
        <f>L112*Inputs!$H57</f>
        <v>356.49576666678001</v>
      </c>
      <c r="M139" s="14">
        <f>M112*Inputs!$H57</f>
        <v>415.68931720291158</v>
      </c>
      <c r="N139" s="182">
        <f>N112*Inputs!$H57</f>
        <v>466.3884525666881</v>
      </c>
      <c r="O139" s="14">
        <f>O112*Inputs!$H57</f>
        <v>475.67511519456144</v>
      </c>
      <c r="P139" s="14">
        <f>P112*Inputs!$H57</f>
        <v>482.72606183100385</v>
      </c>
      <c r="Q139" s="14">
        <f>Q112*Inputs!$H57</f>
        <v>495.31570414050202</v>
      </c>
      <c r="R139" s="14">
        <f>R112*Inputs!$H57</f>
        <v>504.49169503949099</v>
      </c>
      <c r="S139" s="14">
        <f>S112*Inputs!$H57</f>
        <v>511.1704545784973</v>
      </c>
      <c r="T139" s="14">
        <f>T112*Inputs!$H57</f>
        <v>522.41680282952052</v>
      </c>
      <c r="U139" s="14">
        <f>U112*Inputs!$H57</f>
        <v>533.30892114900678</v>
      </c>
      <c r="V139" s="14">
        <f>V112*Inputs!$H57</f>
        <v>539.75352823883838</v>
      </c>
      <c r="W139" s="14">
        <f>W112*Inputs!$H57</f>
        <v>550.17579926873998</v>
      </c>
      <c r="X139" s="187">
        <f>X112*Inputs!$H57</f>
        <v>559.61415825393215</v>
      </c>
      <c r="Y139" s="158">
        <f>Y112*Inputs!$H57</f>
        <v>569.72296427165293</v>
      </c>
      <c r="Z139" s="158">
        <f>Z112*Inputs!$H57</f>
        <v>579.93170725087828</v>
      </c>
      <c r="AA139" s="158">
        <f>AA112*Inputs!$H57</f>
        <v>590.01618967442948</v>
      </c>
      <c r="AB139" s="158">
        <f>AB112*Inputs!$H57</f>
        <v>595.48368413020341</v>
      </c>
      <c r="AC139" s="158">
        <f>AC112*Inputs!$H57</f>
        <v>607.4702409329276</v>
      </c>
      <c r="AD139" s="158">
        <f>AD112*Inputs!$H57</f>
        <v>615.59527845651326</v>
      </c>
      <c r="AE139" s="158">
        <f>AE112*Inputs!$H57</f>
        <v>625.26753210340246</v>
      </c>
      <c r="AF139" s="158">
        <f>AF112*Inputs!$H57</f>
        <v>636.71677938329844</v>
      </c>
      <c r="AG139" s="158">
        <f>AG112*Inputs!$H57</f>
        <v>655.50168357109908</v>
      </c>
      <c r="AH139" s="187">
        <f>AH112*Inputs!$H57</f>
        <v>671.13584301110564</v>
      </c>
      <c r="AI139" s="31">
        <f>SUM(C139:X139)</f>
        <v>8538.4378264853549</v>
      </c>
    </row>
    <row r="140" spans="1:35">
      <c r="A140" s="10" t="s">
        <v>384</v>
      </c>
      <c r="C140" s="331">
        <f t="shared" ref="C140:AH140" si="91">SUM(C127:C139)</f>
        <v>2158.5608100000004</v>
      </c>
      <c r="D140" s="331">
        <f t="shared" si="91"/>
        <v>2259.9607980668638</v>
      </c>
      <c r="E140" s="331">
        <f t="shared" si="91"/>
        <v>2226.6211944893898</v>
      </c>
      <c r="F140" s="331">
        <f t="shared" si="91"/>
        <v>2148.9659626056618</v>
      </c>
      <c r="G140" s="331">
        <f t="shared" si="91"/>
        <v>1966.3798096777234</v>
      </c>
      <c r="H140" s="402">
        <f t="shared" si="91"/>
        <v>2094.8095440037155</v>
      </c>
      <c r="I140" s="14">
        <f t="shared" si="91"/>
        <v>2083.900721692024</v>
      </c>
      <c r="J140" s="14">
        <f t="shared" si="91"/>
        <v>2026.8148620118147</v>
      </c>
      <c r="K140" s="14">
        <f t="shared" si="91"/>
        <v>2018.6586031313684</v>
      </c>
      <c r="L140" s="14">
        <f t="shared" si="91"/>
        <v>1953.1410918055008</v>
      </c>
      <c r="M140" s="14">
        <f t="shared" si="91"/>
        <v>1971.4670951406565</v>
      </c>
      <c r="N140" s="182">
        <f t="shared" si="91"/>
        <v>1933.1305098753605</v>
      </c>
      <c r="O140" s="14">
        <f t="shared" si="91"/>
        <v>1960.750258037581</v>
      </c>
      <c r="P140" s="14">
        <f t="shared" si="91"/>
        <v>1978.9117064766415</v>
      </c>
      <c r="Q140" s="14">
        <f t="shared" si="91"/>
        <v>2019.4679867738389</v>
      </c>
      <c r="R140" s="14">
        <f t="shared" si="91"/>
        <v>2045.7544465147625</v>
      </c>
      <c r="S140" s="14">
        <f t="shared" si="91"/>
        <v>2061.698980991905</v>
      </c>
      <c r="T140" s="14">
        <f t="shared" si="91"/>
        <v>2095.8110238375893</v>
      </c>
      <c r="U140" s="14">
        <f t="shared" si="91"/>
        <v>2128.1623769003663</v>
      </c>
      <c r="V140" s="14">
        <f t="shared" si="91"/>
        <v>2142.5344101623518</v>
      </c>
      <c r="W140" s="14">
        <f t="shared" si="91"/>
        <v>2172.4795166825338</v>
      </c>
      <c r="X140" s="187">
        <f t="shared" si="91"/>
        <v>2198.2662594476374</v>
      </c>
      <c r="Y140" s="158">
        <f t="shared" si="91"/>
        <v>2225.32945600428</v>
      </c>
      <c r="Z140" s="158">
        <f t="shared" si="91"/>
        <v>2252.5511074432802</v>
      </c>
      <c r="AA140" s="158">
        <f t="shared" si="91"/>
        <v>2279.0665387600716</v>
      </c>
      <c r="AB140" s="158">
        <f t="shared" si="91"/>
        <v>2287.6318679382694</v>
      </c>
      <c r="AC140" s="158">
        <f t="shared" si="91"/>
        <v>2321.0913735976087</v>
      </c>
      <c r="AD140" s="158">
        <f t="shared" si="91"/>
        <v>2339.5971094571419</v>
      </c>
      <c r="AE140" s="158">
        <f t="shared" si="91"/>
        <v>2363.8378736996247</v>
      </c>
      <c r="AF140" s="158">
        <f t="shared" si="91"/>
        <v>2394.5913040640471</v>
      </c>
      <c r="AG140" s="158">
        <f t="shared" si="91"/>
        <v>2452.5582671013253</v>
      </c>
      <c r="AH140" s="187">
        <f t="shared" si="91"/>
        <v>2498.292728584197</v>
      </c>
      <c r="AI140" s="48" t="s">
        <v>0</v>
      </c>
    </row>
    <row r="141" spans="1:35">
      <c r="A141" s="10" t="s">
        <v>387</v>
      </c>
      <c r="C141" s="331">
        <f>SUM(C128:C130)</f>
        <v>1786.2466500000003</v>
      </c>
      <c r="D141" s="331">
        <f t="shared" ref="D141:AH141" si="92">SUM(D128:D130)</f>
        <v>1807.133979696503</v>
      </c>
      <c r="E141" s="331">
        <f t="shared" si="92"/>
        <v>1667.2631813717035</v>
      </c>
      <c r="F141" s="331">
        <f t="shared" si="92"/>
        <v>1529.4248840171106</v>
      </c>
      <c r="G141" s="331">
        <f t="shared" si="92"/>
        <v>1338.9419633581724</v>
      </c>
      <c r="H141" s="402">
        <f t="shared" si="92"/>
        <v>1541.1584036657412</v>
      </c>
      <c r="I141" s="14">
        <f t="shared" si="92"/>
        <v>1431.9604092121913</v>
      </c>
      <c r="J141" s="14">
        <f t="shared" si="92"/>
        <v>1287.3551687294853</v>
      </c>
      <c r="K141" s="14">
        <f t="shared" si="92"/>
        <v>1159.6393994988464</v>
      </c>
      <c r="L141" s="14">
        <f t="shared" si="92"/>
        <v>990.08661386147946</v>
      </c>
      <c r="M141" s="14">
        <f t="shared" si="92"/>
        <v>854.07198388206416</v>
      </c>
      <c r="N141" s="187">
        <f t="shared" si="92"/>
        <v>685.514596749975</v>
      </c>
      <c r="O141" s="14">
        <f t="shared" si="92"/>
        <v>688.29198869475761</v>
      </c>
      <c r="P141" s="14">
        <f t="shared" si="92"/>
        <v>687.59174967605315</v>
      </c>
      <c r="Q141" s="14">
        <f t="shared" si="92"/>
        <v>694.47001329113596</v>
      </c>
      <c r="R141" s="14">
        <f t="shared" si="92"/>
        <v>696.21017004949294</v>
      </c>
      <c r="S141" s="14">
        <f t="shared" si="92"/>
        <v>694.28863894343885</v>
      </c>
      <c r="T141" s="14">
        <f t="shared" si="92"/>
        <v>698.31605391013375</v>
      </c>
      <c r="U141" s="14">
        <f t="shared" si="92"/>
        <v>701.53036451774244</v>
      </c>
      <c r="V141" s="14">
        <f t="shared" si="92"/>
        <v>698.66270345439625</v>
      </c>
      <c r="W141" s="14">
        <f t="shared" si="92"/>
        <v>700.72763602033137</v>
      </c>
      <c r="X141" s="187">
        <f t="shared" si="92"/>
        <v>701.26622609445008</v>
      </c>
      <c r="Y141" s="158">
        <f t="shared" si="92"/>
        <v>701.28778561870354</v>
      </c>
      <c r="Z141" s="158">
        <f t="shared" si="92"/>
        <v>701.20046291009101</v>
      </c>
      <c r="AA141" s="158">
        <f t="shared" si="92"/>
        <v>700.73932420673009</v>
      </c>
      <c r="AB141" s="158">
        <f t="shared" si="92"/>
        <v>694.67879150861359</v>
      </c>
      <c r="AC141" s="158">
        <f t="shared" si="92"/>
        <v>696.07356887470314</v>
      </c>
      <c r="AD141" s="158">
        <f t="shared" si="92"/>
        <v>692.84436242728293</v>
      </c>
      <c r="AE141" s="158">
        <f t="shared" si="92"/>
        <v>691.21129231723353</v>
      </c>
      <c r="AF141" s="158">
        <f t="shared" si="92"/>
        <v>691.3373282401883</v>
      </c>
      <c r="AG141" s="158">
        <f t="shared" si="92"/>
        <v>699.05359304028229</v>
      </c>
      <c r="AH141" s="187">
        <f t="shared" si="92"/>
        <v>702.96577955398118</v>
      </c>
      <c r="AI141" s="48"/>
    </row>
    <row r="142" spans="1:35">
      <c r="A142" s="10" t="s">
        <v>386</v>
      </c>
      <c r="C142" s="330">
        <f t="shared" ref="C142:AH142" si="93">SUMPRODUCT($B131:$B139,C131:C139)</f>
        <v>372.31416000000002</v>
      </c>
      <c r="D142" s="330">
        <f t="shared" si="93"/>
        <v>452.8268183703608</v>
      </c>
      <c r="E142" s="330">
        <f t="shared" si="93"/>
        <v>559.35801311768648</v>
      </c>
      <c r="F142" s="330">
        <f t="shared" si="93"/>
        <v>619.54107858855104</v>
      </c>
      <c r="G142" s="330">
        <f t="shared" si="93"/>
        <v>627.437846319551</v>
      </c>
      <c r="H142" s="286">
        <f t="shared" si="93"/>
        <v>553.6511403379742</v>
      </c>
      <c r="I142" s="40">
        <f t="shared" si="93"/>
        <v>651.94031247983287</v>
      </c>
      <c r="J142" s="40">
        <f t="shared" si="93"/>
        <v>739.45969328232945</v>
      </c>
      <c r="K142" s="40">
        <f t="shared" si="93"/>
        <v>859.01920363252202</v>
      </c>
      <c r="L142" s="40">
        <f t="shared" si="93"/>
        <v>963.05447794402164</v>
      </c>
      <c r="M142" s="40">
        <f t="shared" si="93"/>
        <v>1117.3951112585926</v>
      </c>
      <c r="N142" s="177">
        <f t="shared" si="93"/>
        <v>1247.6159131253853</v>
      </c>
      <c r="O142" s="40">
        <f t="shared" si="93"/>
        <v>1272.4582693428238</v>
      </c>
      <c r="P142" s="40">
        <f t="shared" si="93"/>
        <v>1291.3199568005882</v>
      </c>
      <c r="Q142" s="40">
        <f t="shared" si="93"/>
        <v>1324.9979734827029</v>
      </c>
      <c r="R142" s="40">
        <f t="shared" si="93"/>
        <v>1349.5442764652698</v>
      </c>
      <c r="S142" s="40">
        <f t="shared" si="93"/>
        <v>1367.4103420484666</v>
      </c>
      <c r="T142" s="40">
        <f t="shared" si="93"/>
        <v>1397.4949699274557</v>
      </c>
      <c r="U142" s="40">
        <f t="shared" si="93"/>
        <v>1426.6320123826235</v>
      </c>
      <c r="V142" s="40">
        <f t="shared" si="93"/>
        <v>1443.871706707956</v>
      </c>
      <c r="W142" s="40">
        <f t="shared" si="93"/>
        <v>1471.7518806622024</v>
      </c>
      <c r="X142" s="184">
        <f t="shared" si="93"/>
        <v>1497.0000333531873</v>
      </c>
      <c r="Y142" s="271">
        <f t="shared" si="93"/>
        <v>1524.0416703855765</v>
      </c>
      <c r="Z142" s="271">
        <f t="shared" si="93"/>
        <v>1551.3506445331891</v>
      </c>
      <c r="AA142" s="271">
        <f t="shared" si="93"/>
        <v>1578.3272145533415</v>
      </c>
      <c r="AB142" s="271">
        <f t="shared" si="93"/>
        <v>1592.9530764296555</v>
      </c>
      <c r="AC142" s="271">
        <f t="shared" si="93"/>
        <v>1625.0178047229056</v>
      </c>
      <c r="AD142" s="271">
        <f t="shared" si="93"/>
        <v>1646.7527470298592</v>
      </c>
      <c r="AE142" s="271">
        <f t="shared" si="93"/>
        <v>1672.6265813823911</v>
      </c>
      <c r="AF142" s="271">
        <f t="shared" si="93"/>
        <v>1703.2539758238586</v>
      </c>
      <c r="AG142" s="271">
        <f t="shared" si="93"/>
        <v>1753.5046740610433</v>
      </c>
      <c r="AH142" s="184">
        <f t="shared" si="93"/>
        <v>1795.3269490302162</v>
      </c>
    </row>
    <row r="143" spans="1:35">
      <c r="A143" s="10" t="s">
        <v>142</v>
      </c>
      <c r="C143" s="331">
        <f>C116*Inputs!$H$60</f>
        <v>2965.6242000000002</v>
      </c>
      <c r="D143" s="331">
        <f>D116*Inputs!$H$60</f>
        <v>4049.0479971410505</v>
      </c>
      <c r="E143" s="331">
        <f>E116*Inputs!$H$60</f>
        <v>4262.6009748103797</v>
      </c>
      <c r="F143" s="331">
        <f>F116*Inputs!$H$60</f>
        <v>3959.6263478572796</v>
      </c>
      <c r="G143" s="331">
        <f>G116*Inputs!$H$60</f>
        <v>4114.7691637161297</v>
      </c>
      <c r="H143" s="402">
        <f>H116*Inputs!$H$60</f>
        <v>4024.3954552665268</v>
      </c>
      <c r="I143" s="14">
        <f>I116*Inputs!$H$60</f>
        <v>4218.2077093830912</v>
      </c>
      <c r="J143" s="14">
        <f>J116*Inputs!$H$60</f>
        <v>3898.8112486168084</v>
      </c>
      <c r="K143" s="14">
        <f>K116*Inputs!$H$60</f>
        <v>3936.2163901650342</v>
      </c>
      <c r="L143" s="14">
        <f>L116*Inputs!$H$60</f>
        <v>3816.3956988326586</v>
      </c>
      <c r="M143" s="14">
        <f>M116*Inputs!$H$60</f>
        <v>3873.7295871285164</v>
      </c>
      <c r="N143" s="182">
        <f>N116*Inputs!$H$60</f>
        <v>3696.0759691564826</v>
      </c>
      <c r="O143" s="14">
        <f>O116*Inputs!$H$60</f>
        <v>3701.9447867682206</v>
      </c>
      <c r="P143" s="14">
        <f>P116*Inputs!$H$60</f>
        <v>3713.558993299675</v>
      </c>
      <c r="Q143" s="14">
        <f>Q116*Inputs!$H$60</f>
        <v>3725.6286039197425</v>
      </c>
      <c r="R143" s="14">
        <f>R116*Inputs!$H$60</f>
        <v>3742.999481892396</v>
      </c>
      <c r="S143" s="14">
        <f>S116*Inputs!$H$60</f>
        <v>3751.9922639427282</v>
      </c>
      <c r="T143" s="14">
        <f>T116*Inputs!$H$60</f>
        <v>3746.6611847318395</v>
      </c>
      <c r="U143" s="14">
        <f>U116*Inputs!$H$60</f>
        <v>3742.193104100118</v>
      </c>
      <c r="V143" s="14">
        <f>V116*Inputs!$H$60</f>
        <v>3733.8200776715312</v>
      </c>
      <c r="W143" s="14">
        <f>W116*Inputs!$H$60</f>
        <v>3730.198867815533</v>
      </c>
      <c r="X143" s="187">
        <f>X116*Inputs!$H$60</f>
        <v>3728.3533988408267</v>
      </c>
      <c r="Y143" s="158">
        <f>Y116*Inputs!$H$60</f>
        <v>3720.9174475127602</v>
      </c>
      <c r="Z143" s="158">
        <f>Z116*Inputs!$H$60</f>
        <v>3711.7189838039353</v>
      </c>
      <c r="AA143" s="158">
        <f>AA116*Inputs!$H$60</f>
        <v>3704.1441303184779</v>
      </c>
      <c r="AB143" s="158">
        <f>AB116*Inputs!$H$60</f>
        <v>3700.4813408027203</v>
      </c>
      <c r="AC143" s="158">
        <f>AC116*Inputs!$H$60</f>
        <v>3690.1515410782968</v>
      </c>
      <c r="AD143" s="158">
        <f>AD116*Inputs!$H$60</f>
        <v>3683.5932996285201</v>
      </c>
      <c r="AE143" s="158">
        <f>AE116*Inputs!$H$60</f>
        <v>3674.875788491654</v>
      </c>
      <c r="AF143" s="158">
        <f>AF116*Inputs!$H$60</f>
        <v>3664.1668004442495</v>
      </c>
      <c r="AG143" s="158">
        <f>AG116*Inputs!$H$60</f>
        <v>3646.8545591049983</v>
      </c>
      <c r="AH143" s="187">
        <f>AH116*Inputs!$H$60</f>
        <v>3632.8710965227951</v>
      </c>
      <c r="AI143" s="48"/>
    </row>
    <row r="144" spans="1:35">
      <c r="A144" s="10" t="s">
        <v>222</v>
      </c>
      <c r="C144" s="331">
        <f>C117*Inputs!$H$61</f>
        <v>1270.9818000000002</v>
      </c>
      <c r="D144" s="331">
        <f>D117*Inputs!$H$61</f>
        <v>554.09935124808601</v>
      </c>
      <c r="E144" s="331">
        <f>E117*Inputs!$H$61</f>
        <v>300.82592972630749</v>
      </c>
      <c r="F144" s="331">
        <f>F117*Inputs!$H$61</f>
        <v>573.51328467353369</v>
      </c>
      <c r="G144" s="331">
        <f>G117*Inputs!$H$61</f>
        <v>180.79145712675788</v>
      </c>
      <c r="H144" s="402">
        <f>H117*Inputs!$H$61</f>
        <v>272.50304367654871</v>
      </c>
      <c r="I144" s="14">
        <f>I117*Inputs!$H$61</f>
        <v>263.72420305441966</v>
      </c>
      <c r="J144" s="14">
        <f>J117*Inputs!$H$61</f>
        <v>676.54889508074132</v>
      </c>
      <c r="K144" s="14">
        <f>K117*Inputs!$H$61</f>
        <v>796.33405459074766</v>
      </c>
      <c r="L144" s="14">
        <f>L117*Inputs!$H$61</f>
        <v>895.17463220010609</v>
      </c>
      <c r="M144" s="14">
        <f>M117*Inputs!$H$61</f>
        <v>971.83195948585615</v>
      </c>
      <c r="N144" s="182">
        <f>N117*Inputs!$H$61</f>
        <v>1086.1291207545942</v>
      </c>
      <c r="O144" s="14">
        <f>O117*Inputs!$H$61</f>
        <v>1135.0356411050495</v>
      </c>
      <c r="P144" s="14">
        <f>P117*Inputs!$H$61</f>
        <v>1154.2127253761582</v>
      </c>
      <c r="Q144" s="14">
        <f>Q117*Inputs!$H$61</f>
        <v>1227.7010750295549</v>
      </c>
      <c r="R144" s="14">
        <f>R117*Inputs!$H$61</f>
        <v>1259.9271192593114</v>
      </c>
      <c r="S144" s="14">
        <f>S117*Inputs!$H$61</f>
        <v>1274.6077018075182</v>
      </c>
      <c r="T144" s="14">
        <f>T117*Inputs!$H$61</f>
        <v>1347.8197609833314</v>
      </c>
      <c r="U144" s="14">
        <f>U117*Inputs!$H$61</f>
        <v>1415.1990921603167</v>
      </c>
      <c r="V144" s="14">
        <f>V117*Inputs!$H$61</f>
        <v>1442.0287165633533</v>
      </c>
      <c r="W144" s="14">
        <f>W117*Inputs!$H$61</f>
        <v>1501.4118196015866</v>
      </c>
      <c r="X144" s="187">
        <f>X117*Inputs!$H$61</f>
        <v>1548.2934583450942</v>
      </c>
      <c r="Y144" s="158">
        <f>Y117*Inputs!$H$61</f>
        <v>1564.0343011787872</v>
      </c>
      <c r="Z144" s="158">
        <f>Z117*Inputs!$H$61</f>
        <v>1580.5920979367806</v>
      </c>
      <c r="AA144" s="158">
        <f>AA117*Inputs!$H$61</f>
        <v>1592.5533990791496</v>
      </c>
      <c r="AB144" s="158">
        <f>AB117*Inputs!$H$61</f>
        <v>1557.7247064992553</v>
      </c>
      <c r="AC144" s="158">
        <f>AC117*Inputs!$H$61</f>
        <v>1586.2712150434227</v>
      </c>
      <c r="AD144" s="158">
        <f>AD117*Inputs!$H$61</f>
        <v>1575.5662982367887</v>
      </c>
      <c r="AE144" s="158">
        <f>AE117*Inputs!$H$61</f>
        <v>1579.0315569145753</v>
      </c>
      <c r="AF144" s="158">
        <f>AF117*Inputs!$H$61</f>
        <v>1597.7967461712551</v>
      </c>
      <c r="AG144" s="158">
        <f>AG117*Inputs!$H$61</f>
        <v>1681.3642791111552</v>
      </c>
      <c r="AH144" s="187">
        <f>AH117*Inputs!$H$61</f>
        <v>1732.4197896488408</v>
      </c>
      <c r="AI144" s="48"/>
    </row>
    <row r="145" spans="1:35">
      <c r="A145" s="10" t="s">
        <v>58</v>
      </c>
      <c r="C145" s="331">
        <f>SUM(C140,C143,C144)</f>
        <v>6395.1668100000015</v>
      </c>
      <c r="D145" s="331">
        <f>SUM(D140,D143,D144)</f>
        <v>6863.1081464560002</v>
      </c>
      <c r="E145" s="331">
        <f t="shared" ref="E145:AH145" si="94">SUM(E140,E143,E144)</f>
        <v>6790.0480990260776</v>
      </c>
      <c r="F145" s="331">
        <f t="shared" si="94"/>
        <v>6682.105595136476</v>
      </c>
      <c r="G145" s="331">
        <f t="shared" si="94"/>
        <v>6261.9404305206108</v>
      </c>
      <c r="H145" s="402">
        <f t="shared" si="94"/>
        <v>6391.7080429467915</v>
      </c>
      <c r="I145" s="14">
        <f t="shared" si="94"/>
        <v>6565.8326341295351</v>
      </c>
      <c r="J145" s="14">
        <f t="shared" si="94"/>
        <v>6602.1750057093641</v>
      </c>
      <c r="K145" s="14">
        <f t="shared" si="94"/>
        <v>6751.2090478871505</v>
      </c>
      <c r="L145" s="14">
        <f t="shared" si="94"/>
        <v>6664.7114228382661</v>
      </c>
      <c r="M145" s="14">
        <f t="shared" si="94"/>
        <v>6817.0286417550287</v>
      </c>
      <c r="N145" s="187">
        <f t="shared" si="94"/>
        <v>6715.3355997864383</v>
      </c>
      <c r="O145" s="14">
        <f t="shared" si="94"/>
        <v>6797.7306859108512</v>
      </c>
      <c r="P145" s="14">
        <f t="shared" si="94"/>
        <v>6846.6834251524751</v>
      </c>
      <c r="Q145" s="14">
        <f t="shared" si="94"/>
        <v>6972.7976657231366</v>
      </c>
      <c r="R145" s="14">
        <f t="shared" si="94"/>
        <v>7048.6810476664705</v>
      </c>
      <c r="S145" s="14">
        <f t="shared" si="94"/>
        <v>7088.2989467421512</v>
      </c>
      <c r="T145" s="14">
        <f t="shared" si="94"/>
        <v>7190.2919695527598</v>
      </c>
      <c r="U145" s="14">
        <f t="shared" si="94"/>
        <v>7285.5545731608008</v>
      </c>
      <c r="V145" s="14">
        <f t="shared" si="94"/>
        <v>7318.383204397237</v>
      </c>
      <c r="W145" s="14">
        <f t="shared" si="94"/>
        <v>7404.0902040996534</v>
      </c>
      <c r="X145" s="187">
        <f t="shared" si="94"/>
        <v>7474.9131166335583</v>
      </c>
      <c r="Y145" s="158">
        <f t="shared" si="94"/>
        <v>7510.281204695827</v>
      </c>
      <c r="Z145" s="158">
        <f t="shared" si="94"/>
        <v>7544.8621891839957</v>
      </c>
      <c r="AA145" s="158">
        <f t="shared" si="94"/>
        <v>7575.7640681576995</v>
      </c>
      <c r="AB145" s="158">
        <f t="shared" si="94"/>
        <v>7545.8379152402449</v>
      </c>
      <c r="AC145" s="158">
        <f t="shared" si="94"/>
        <v>7597.5141297193286</v>
      </c>
      <c r="AD145" s="158">
        <f t="shared" si="94"/>
        <v>7598.7567073224509</v>
      </c>
      <c r="AE145" s="158">
        <f t="shared" si="94"/>
        <v>7617.7452191058537</v>
      </c>
      <c r="AF145" s="158">
        <f t="shared" si="94"/>
        <v>7656.5548506795521</v>
      </c>
      <c r="AG145" s="158">
        <f t="shared" si="94"/>
        <v>7780.7771053174793</v>
      </c>
      <c r="AH145" s="187">
        <f t="shared" si="94"/>
        <v>7863.583614755833</v>
      </c>
      <c r="AI145" s="48"/>
    </row>
    <row r="146" spans="1:35" s="1" customFormat="1">
      <c r="A146" s="1" t="s">
        <v>335</v>
      </c>
      <c r="B146" s="13"/>
      <c r="C146" s="341">
        <f>C145-'Output - Jobs vs Yr (BAU)'!C73</f>
        <v>2.969730000000709</v>
      </c>
      <c r="D146" s="341">
        <f>D145-'Output - Jobs vs Yr (BAU)'!D73</f>
        <v>-12.208933544000502</v>
      </c>
      <c r="E146" s="341">
        <f>E145-'Output - Jobs vs Yr (BAU)'!E73</f>
        <v>-17.05423316555607</v>
      </c>
      <c r="F146" s="341">
        <f>F145-'Output - Jobs vs Yr (BAU)'!F73</f>
        <v>-10.957180405082909</v>
      </c>
      <c r="G146" s="341">
        <f>G145-'Output - Jobs vs Yr (BAU)'!G73</f>
        <v>-8.4719655158178284</v>
      </c>
      <c r="H146" s="405">
        <f>H145-'Output - Jobs vs Yr (BAU)'!H73</f>
        <v>-0.12897000000066328</v>
      </c>
      <c r="I146" s="15">
        <f>I145-'Output - Jobs vs Yr (BAU)'!I73</f>
        <v>-9.0474986772442207</v>
      </c>
      <c r="J146" s="15">
        <f>J145-'Output - Jobs vs Yr (BAU)'!J73</f>
        <v>15.644237364389483</v>
      </c>
      <c r="K146" s="15">
        <f>K145-'Output - Jobs vs Yr (BAU)'!K73</f>
        <v>8.5444061413390955</v>
      </c>
      <c r="L146" s="15">
        <f>L145-'Output - Jobs vs Yr (BAU)'!L73</f>
        <v>95.27459594816446</v>
      </c>
      <c r="M146" s="15">
        <f>M145-'Output - Jobs vs Yr (BAU)'!M73</f>
        <v>123.86869093106088</v>
      </c>
      <c r="N146" s="182">
        <f>N145-'Output - Jobs vs Yr (BAU)'!N73</f>
        <v>221.49513212299644</v>
      </c>
      <c r="O146" s="15">
        <f>O145-'Output - Jobs vs Yr (BAU)'!O73</f>
        <v>225.26533513307459</v>
      </c>
      <c r="P146" s="15">
        <f>P145-'Output - Jobs vs Yr (BAU)'!P73</f>
        <v>223.16979995488964</v>
      </c>
      <c r="Q146" s="15">
        <f>Q145-'Output - Jobs vs Yr (BAU)'!Q73</f>
        <v>233.09840312019969</v>
      </c>
      <c r="R146" s="15">
        <f>R145-'Output - Jobs vs Yr (BAU)'!R73</f>
        <v>231.82456955904945</v>
      </c>
      <c r="S146" s="15">
        <f>S145-'Output - Jobs vs Yr (BAU)'!S73</f>
        <v>232.87702666251425</v>
      </c>
      <c r="T146" s="15">
        <f>T145-'Output - Jobs vs Yr (BAU)'!T73</f>
        <v>240.65709983174929</v>
      </c>
      <c r="U146" s="15">
        <f>U145-'Output - Jobs vs Yr (BAU)'!U73</f>
        <v>243.97413136166415</v>
      </c>
      <c r="V146" s="15">
        <f>V145-'Output - Jobs vs Yr (BAU)'!V73</f>
        <v>245.95741992601961</v>
      </c>
      <c r="W146" s="15">
        <f>W145-'Output - Jobs vs Yr (BAU)'!W73</f>
        <v>252.96965873380123</v>
      </c>
      <c r="X146" s="190">
        <f>X145-'Output - Jobs vs Yr (BAU)'!X73</f>
        <v>257.02289365836441</v>
      </c>
      <c r="Y146" s="130">
        <f>Y145-'Output - Jobs vs Yr (BAU)'!Y73</f>
        <v>263.5060869310355</v>
      </c>
      <c r="Z146" s="130">
        <f>Z145-'Output - Jobs vs Yr (BAU)'!Z73</f>
        <v>269.83793539564067</v>
      </c>
      <c r="AA146" s="130">
        <f>AA145-'Output - Jobs vs Yr (BAU)'!AA73</f>
        <v>274.94111888064435</v>
      </c>
      <c r="AB146" s="130">
        <f>AB145-'Output - Jobs vs Yr (BAU)'!AB73</f>
        <v>273.31118215104289</v>
      </c>
      <c r="AC146" s="130">
        <f>AC145-'Output - Jobs vs Yr (BAU)'!AC73</f>
        <v>281.21518413746071</v>
      </c>
      <c r="AD146" s="130">
        <f>AD145-'Output - Jobs vs Yr (BAU)'!AD73</f>
        <v>283.5206797672472</v>
      </c>
      <c r="AE146" s="130">
        <f>AE145-'Output - Jobs vs Yr (BAU)'!AE73</f>
        <v>288.5334968659181</v>
      </c>
      <c r="AF146" s="130">
        <f>AF145-'Output - Jobs vs Yr (BAU)'!AF73</f>
        <v>295.81637584156579</v>
      </c>
      <c r="AG146" s="130">
        <f>AG145-'Output - Jobs vs Yr (BAU)'!AG73</f>
        <v>312.33749226181317</v>
      </c>
      <c r="AH146" s="190">
        <f>AH145-'Output - Jobs vs Yr (BAU)'!AH73</f>
        <v>325.41618429440496</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13494.638280000001</v>
      </c>
      <c r="D176" s="334">
        <f>'Output - Jobs vs Yr (BAU)'!D55+'Output - Jobs vs Yr (BAU)'!D73</f>
        <v>14514.558280000001</v>
      </c>
      <c r="E176" s="334">
        <f>'Output - Jobs vs Yr (BAU)'!E55+'Output - Jobs vs Yr (BAU)'!E73</f>
        <v>14370.549367960117</v>
      </c>
      <c r="F176" s="334">
        <f>'Output - Jobs vs Yr (BAU)'!F55+'Output - Jobs vs Yr (BAU)'!F73</f>
        <v>14129.799192809958</v>
      </c>
      <c r="G176" s="334">
        <f>'Output - Jobs vs Yr (BAU)'!G55+'Output - Jobs vs Yr (BAU)'!G73</f>
        <v>13237.537280521348</v>
      </c>
      <c r="H176" s="404">
        <f>'Output - Jobs vs Yr (BAU)'!H55+'Output - Jobs vs Yr (BAU)'!H73</f>
        <v>13493.878138443228</v>
      </c>
      <c r="I176" s="19">
        <f>'Output - Jobs vs Yr (BAU)'!I55+'Output - Jobs vs Yr (BAU)'!I73</f>
        <v>13880.302502592091</v>
      </c>
      <c r="J176" s="19">
        <f>'Output - Jobs vs Yr (BAU)'!J55+'Output - Jobs vs Yr (BAU)'!J73</f>
        <v>13904.89828872828</v>
      </c>
      <c r="K176" s="19">
        <f>'Output - Jobs vs Yr (BAU)'!K55+'Output - Jobs vs Yr (BAU)'!K73</f>
        <v>14234.514243685602</v>
      </c>
      <c r="L176" s="19">
        <f>'Output - Jobs vs Yr (BAU)'!L55+'Output - Jobs vs Yr (BAU)'!L73</f>
        <v>13868.811078990213</v>
      </c>
      <c r="M176" s="19">
        <f>'Output - Jobs vs Yr (BAU)'!M55+'Output - Jobs vs Yr (BAU)'!M73</f>
        <v>14130.004340628377</v>
      </c>
      <c r="N176" s="182">
        <f>'Output - Jobs vs Yr (BAU)'!N55+'Output - Jobs vs Yr (BAU)'!N73</f>
        <v>13709.218765067264</v>
      </c>
      <c r="O176" s="19">
        <f>'Output - Jobs vs Yr (BAU)'!O55+'Output - Jobs vs Yr (BAU)'!O73</f>
        <v>13875.20462941975</v>
      </c>
      <c r="P176" s="19">
        <f>'Output - Jobs vs Yr (BAU)'!P55+'Output - Jobs vs Yr (BAU)'!P73</f>
        <v>13982.973208750458</v>
      </c>
      <c r="Q176" s="19">
        <f>'Output - Jobs vs Yr (BAU)'!Q55+'Output - Jobs vs Yr (BAU)'!Q73</f>
        <v>14228.253998828422</v>
      </c>
      <c r="R176" s="19">
        <f>'Output - Jobs vs Yr (BAU)'!R55+'Output - Jobs vs Yr (BAU)'!R73</f>
        <v>14391.141453782333</v>
      </c>
      <c r="S176" s="19">
        <f>'Output - Jobs vs Yr (BAU)'!S55+'Output - Jobs vs Yr (BAU)'!S73</f>
        <v>14472.557386834789</v>
      </c>
      <c r="T176" s="19">
        <f>'Output - Jobs vs Yr (BAU)'!T55+'Output - Jobs vs Yr (BAU)'!T73</f>
        <v>14671.451391633245</v>
      </c>
      <c r="U176" s="19">
        <f>'Output - Jobs vs Yr (BAU)'!U55+'Output - Jobs vs Yr (BAU)'!U73</f>
        <v>14865.558710464844</v>
      </c>
      <c r="V176" s="19">
        <f>'Output - Jobs vs Yr (BAU)'!V55+'Output - Jobs vs Yr (BAU)'!V73</f>
        <v>14930.676656105905</v>
      </c>
      <c r="W176" s="19">
        <f>'Output - Jobs vs Yr (BAU)'!W55+'Output - Jobs vs Yr (BAU)'!W73</f>
        <v>15096.810040216798</v>
      </c>
      <c r="X176" s="182">
        <f>'Output - Jobs vs Yr (BAU)'!X55+'Output - Jobs vs Yr (BAU)'!X73</f>
        <v>15237.768248503187</v>
      </c>
      <c r="Y176" s="206">
        <f>'Output - Jobs vs Yr (BAU)'!Y55+'Output - Jobs vs Yr (BAU)'!Y73</f>
        <v>15298.747470836781</v>
      </c>
      <c r="Z176" s="206">
        <f>'Output - Jobs vs Yr (BAU)'!Z55+'Output - Jobs vs Yr (BAU)'!Z73</f>
        <v>15358.384535775416</v>
      </c>
      <c r="AA176" s="206">
        <f>'Output - Jobs vs Yr (BAU)'!AA55+'Output - Jobs vs Yr (BAU)'!AA73</f>
        <v>15412.848448473784</v>
      </c>
      <c r="AB176" s="206">
        <f>'Output - Jobs vs Yr (BAU)'!AB55+'Output - Jobs vs Yr (BAU)'!AB73</f>
        <v>15353.111992077203</v>
      </c>
      <c r="AC176" s="206">
        <f>'Output - Jobs vs Yr (BAU)'!AC55+'Output - Jobs vs Yr (BAU)'!AC73</f>
        <v>15445.519996228388</v>
      </c>
      <c r="AD176" s="206">
        <f>'Output - Jobs vs Yr (BAU)'!AD55+'Output - Jobs vs Yr (BAU)'!AD73</f>
        <v>15443.276058172096</v>
      </c>
      <c r="AE176" s="206">
        <f>'Output - Jobs vs Yr (BAU)'!AE55+'Output - Jobs vs Yr (BAU)'!AE73</f>
        <v>15472.78030250653</v>
      </c>
      <c r="AF176" s="206">
        <f>'Output - Jobs vs Yr (BAU)'!AF55+'Output - Jobs vs Yr (BAU)'!AF73</f>
        <v>15539.336780213525</v>
      </c>
      <c r="AG176" s="206">
        <f>'Output - Jobs vs Yr (BAU)'!AG55+'Output - Jobs vs Yr (BAU)'!AG73</f>
        <v>15766.705849784183</v>
      </c>
      <c r="AH176" s="182">
        <f>'Output - Jobs vs Yr (BAU)'!AH55+'Output - Jobs vs Yr (BAU)'!AH73</f>
        <v>15913.909019863015</v>
      </c>
      <c r="AI176" s="1"/>
    </row>
    <row r="177" spans="1:35">
      <c r="A177" s="76" t="s">
        <v>300</v>
      </c>
      <c r="C177" s="334">
        <f>'Output - Jobs vs Yr (BAU)'!C55</f>
        <v>7102.4412000000002</v>
      </c>
      <c r="D177" s="334">
        <f>'Output - Jobs vs Yr (BAU)'!D55</f>
        <v>7639.2412000000004</v>
      </c>
      <c r="E177" s="334">
        <f>'Output - Jobs vs Yr (BAU)'!E55</f>
        <v>7563.4470357684831</v>
      </c>
      <c r="F177" s="334">
        <f>'Output - Jobs vs Yr (BAU)'!F55</f>
        <v>7436.7364172683992</v>
      </c>
      <c r="G177" s="334">
        <f>'Output - Jobs vs Yr (BAU)'!G55</f>
        <v>6967.1248844849206</v>
      </c>
      <c r="H177" s="404">
        <f>'Output - Jobs vs Yr (BAU)'!H55</f>
        <v>7102.0411254964356</v>
      </c>
      <c r="I177" s="19">
        <f>'Output - Jobs vs Yr (BAU)'!I55</f>
        <v>7305.4223697853113</v>
      </c>
      <c r="J177" s="19">
        <f>'Output - Jobs vs Yr (BAU)'!J55</f>
        <v>7318.3675203833054</v>
      </c>
      <c r="K177" s="19">
        <f>'Output - Jobs vs Yr (BAU)'!K55</f>
        <v>7491.8496019397908</v>
      </c>
      <c r="L177" s="19">
        <f>'Output - Jobs vs Yr (BAU)'!L55</f>
        <v>7299.3742521001113</v>
      </c>
      <c r="M177" s="19">
        <f>'Output - Jobs vs Yr (BAU)'!M55</f>
        <v>7436.8443898044097</v>
      </c>
      <c r="N177" s="182">
        <f>'Output - Jobs vs Yr (BAU)'!N55</f>
        <v>7215.3782974038222</v>
      </c>
      <c r="O177" s="19">
        <f>'Output - Jobs vs Yr (BAU)'!O55</f>
        <v>7302.7392786419732</v>
      </c>
      <c r="P177" s="19">
        <f>'Output - Jobs vs Yr (BAU)'!P55</f>
        <v>7359.4595835528726</v>
      </c>
      <c r="Q177" s="19">
        <f>'Output - Jobs vs Yr (BAU)'!Q55</f>
        <v>7488.5547362254856</v>
      </c>
      <c r="R177" s="19">
        <f>'Output - Jobs vs Yr (BAU)'!R55</f>
        <v>7574.2849756749119</v>
      </c>
      <c r="S177" s="19">
        <f>'Output - Jobs vs Yr (BAU)'!S55</f>
        <v>7617.1354667551523</v>
      </c>
      <c r="T177" s="19">
        <f>'Output - Jobs vs Yr (BAU)'!T55</f>
        <v>7721.8165219122347</v>
      </c>
      <c r="U177" s="19">
        <f>'Output - Jobs vs Yr (BAU)'!U55</f>
        <v>7823.9782686657081</v>
      </c>
      <c r="V177" s="19">
        <f>'Output - Jobs vs Yr (BAU)'!V55</f>
        <v>7858.2508716346865</v>
      </c>
      <c r="W177" s="19">
        <f>'Output - Jobs vs Yr (BAU)'!W55</f>
        <v>7945.6894948509462</v>
      </c>
      <c r="X177" s="182">
        <f>'Output - Jobs vs Yr (BAU)'!X55</f>
        <v>8019.8780255279926</v>
      </c>
      <c r="Y177" s="206">
        <f>'Output - Jobs vs Yr (BAU)'!Y55</f>
        <v>8051.9723530719903</v>
      </c>
      <c r="Z177" s="206">
        <f>'Output - Jobs vs Yr (BAU)'!Z55</f>
        <v>8083.3602819870612</v>
      </c>
      <c r="AA177" s="206">
        <f>'Output - Jobs vs Yr (BAU)'!AA55</f>
        <v>8112.0254991967286</v>
      </c>
      <c r="AB177" s="206">
        <f>'Output - Jobs vs Yr (BAU)'!AB55</f>
        <v>8080.5852589880024</v>
      </c>
      <c r="AC177" s="206">
        <f>'Output - Jobs vs Yr (BAU)'!AC55</f>
        <v>8129.2210506465199</v>
      </c>
      <c r="AD177" s="206">
        <f>'Output - Jobs vs Yr (BAU)'!AD55</f>
        <v>8128.0400306168922</v>
      </c>
      <c r="AE177" s="206">
        <f>'Output - Jobs vs Yr (BAU)'!AE55</f>
        <v>8143.5685802665939</v>
      </c>
      <c r="AF177" s="206">
        <f>'Output - Jobs vs Yr (BAU)'!AF55</f>
        <v>8178.5983053755399</v>
      </c>
      <c r="AG177" s="206">
        <f>'Output - Jobs vs Yr (BAU)'!AG55</f>
        <v>8298.2662367285175</v>
      </c>
      <c r="AH177" s="182">
        <f>'Output - Jobs vs Yr (BAU)'!AH55</f>
        <v>8375.7415894015867</v>
      </c>
      <c r="AI177" s="1"/>
    </row>
    <row r="178" spans="1:35">
      <c r="A178" s="76" t="s">
        <v>301</v>
      </c>
      <c r="C178" s="334">
        <f>'Output - Jobs vs Yr (BAU)'!C73</f>
        <v>6392.1970800000008</v>
      </c>
      <c r="D178" s="334">
        <f>'Output - Jobs vs Yr (BAU)'!D73</f>
        <v>6875.3170800000007</v>
      </c>
      <c r="E178" s="334">
        <f>'Output - Jobs vs Yr (BAU)'!E73</f>
        <v>6807.1023321916336</v>
      </c>
      <c r="F178" s="334">
        <f>'Output - Jobs vs Yr (BAU)'!F73</f>
        <v>6693.0627755415589</v>
      </c>
      <c r="G178" s="334">
        <f>'Output - Jobs vs Yr (BAU)'!G73</f>
        <v>6270.4123960364286</v>
      </c>
      <c r="H178" s="404">
        <f>'Output - Jobs vs Yr (BAU)'!H73</f>
        <v>6391.8370129467921</v>
      </c>
      <c r="I178" s="19">
        <f>'Output - Jobs vs Yr (BAU)'!I73</f>
        <v>6574.8801328067793</v>
      </c>
      <c r="J178" s="19">
        <f>'Output - Jobs vs Yr (BAU)'!J73</f>
        <v>6586.5307683449746</v>
      </c>
      <c r="K178" s="19">
        <f>'Output - Jobs vs Yr (BAU)'!K73</f>
        <v>6742.6646417458114</v>
      </c>
      <c r="L178" s="19">
        <f>'Output - Jobs vs Yr (BAU)'!L73</f>
        <v>6569.4368268901017</v>
      </c>
      <c r="M178" s="19">
        <f>'Output - Jobs vs Yr (BAU)'!M73</f>
        <v>6693.1599508239678</v>
      </c>
      <c r="N178" s="182">
        <f>'Output - Jobs vs Yr (BAU)'!N73</f>
        <v>6493.8404676634418</v>
      </c>
      <c r="O178" s="19">
        <f>'Output - Jobs vs Yr (BAU)'!O73</f>
        <v>6572.4653507777766</v>
      </c>
      <c r="P178" s="19">
        <f>'Output - Jobs vs Yr (BAU)'!P73</f>
        <v>6623.5136251975855</v>
      </c>
      <c r="Q178" s="19">
        <f>'Output - Jobs vs Yr (BAU)'!Q73</f>
        <v>6739.6992626029369</v>
      </c>
      <c r="R178" s="19">
        <f>'Output - Jobs vs Yr (BAU)'!R73</f>
        <v>6816.856478107421</v>
      </c>
      <c r="S178" s="19">
        <f>'Output - Jobs vs Yr (BAU)'!S73</f>
        <v>6855.4219200796369</v>
      </c>
      <c r="T178" s="19">
        <f>'Output - Jobs vs Yr (BAU)'!T73</f>
        <v>6949.6348697210105</v>
      </c>
      <c r="U178" s="19">
        <f>'Output - Jobs vs Yr (BAU)'!U73</f>
        <v>7041.5804417991367</v>
      </c>
      <c r="V178" s="19">
        <f>'Output - Jobs vs Yr (BAU)'!V73</f>
        <v>7072.4257844712174</v>
      </c>
      <c r="W178" s="19">
        <f>'Output - Jobs vs Yr (BAU)'!W73</f>
        <v>7151.1205453658522</v>
      </c>
      <c r="X178" s="182">
        <f>'Output - Jobs vs Yr (BAU)'!X73</f>
        <v>7217.8902229751939</v>
      </c>
      <c r="Y178" s="206">
        <f>'Output - Jobs vs Yr (BAU)'!Y73</f>
        <v>7246.7751177647915</v>
      </c>
      <c r="Z178" s="206">
        <f>'Output - Jobs vs Yr (BAU)'!Z73</f>
        <v>7275.0242537883551</v>
      </c>
      <c r="AA178" s="206">
        <f>'Output - Jobs vs Yr (BAU)'!AA73</f>
        <v>7300.8229492770552</v>
      </c>
      <c r="AB178" s="206">
        <f>'Output - Jobs vs Yr (BAU)'!AB73</f>
        <v>7272.526733089202</v>
      </c>
      <c r="AC178" s="206">
        <f>'Output - Jobs vs Yr (BAU)'!AC73</f>
        <v>7316.2989455818679</v>
      </c>
      <c r="AD178" s="206">
        <f>'Output - Jobs vs Yr (BAU)'!AD73</f>
        <v>7315.2360275552037</v>
      </c>
      <c r="AE178" s="206">
        <f>'Output - Jobs vs Yr (BAU)'!AE73</f>
        <v>7329.2117222399356</v>
      </c>
      <c r="AF178" s="206">
        <f>'Output - Jobs vs Yr (BAU)'!AF73</f>
        <v>7360.7384748379864</v>
      </c>
      <c r="AG178" s="206">
        <f>'Output - Jobs vs Yr (BAU)'!AG73</f>
        <v>7468.4396130556661</v>
      </c>
      <c r="AH178" s="182">
        <f>'Output - Jobs vs Yr (BAU)'!AH73</f>
        <v>7538.167430461428</v>
      </c>
      <c r="AI178" s="80" t="s">
        <v>0</v>
      </c>
    </row>
    <row r="179" spans="1:35">
      <c r="A179" s="75" t="s">
        <v>298</v>
      </c>
      <c r="C179" s="331">
        <f>SUM(C118,C145)</f>
        <v>13500.908010000003</v>
      </c>
      <c r="D179" s="331">
        <f t="shared" ref="D179:AH179" si="99">SUM(D118,D145)+D249+D252</f>
        <v>14488.784215868334</v>
      </c>
      <c r="E179" s="331">
        <f t="shared" si="99"/>
        <v>14334.546362976551</v>
      </c>
      <c r="F179" s="331">
        <f t="shared" si="99"/>
        <v>14106.66776980243</v>
      </c>
      <c r="G179" s="331">
        <f t="shared" si="99"/>
        <v>13219.652432543011</v>
      </c>
      <c r="H179" s="402">
        <f>SUM(H118,H145)+H249+H252</f>
        <v>13493.606168443226</v>
      </c>
      <c r="I179" s="14">
        <f t="shared" si="99"/>
        <v>13861.202563752289</v>
      </c>
      <c r="J179" s="14">
        <f t="shared" si="99"/>
        <v>13937.925380562965</v>
      </c>
      <c r="K179" s="14">
        <f t="shared" si="99"/>
        <v>14252.552844889107</v>
      </c>
      <c r="L179" s="14">
        <f t="shared" si="99"/>
        <v>14069.946778262776</v>
      </c>
      <c r="M179" s="14">
        <f t="shared" si="99"/>
        <v>14391.505401022463</v>
      </c>
      <c r="N179" s="187">
        <f t="shared" si="99"/>
        <v>14176.8201246146</v>
      </c>
      <c r="O179" s="14">
        <f t="shared" si="99"/>
        <v>14350.765316887837</v>
      </c>
      <c r="P179" s="14">
        <f t="shared" si="99"/>
        <v>14454.109996558191</v>
      </c>
      <c r="Q179" s="14">
        <f t="shared" si="99"/>
        <v>14720.351185269818</v>
      </c>
      <c r="R179" s="14">
        <f t="shared" si="99"/>
        <v>14880.549446369514</v>
      </c>
      <c r="S179" s="14">
        <f t="shared" si="99"/>
        <v>14964.187240826086</v>
      </c>
      <c r="T179" s="14">
        <f t="shared" si="99"/>
        <v>15179.505857198637</v>
      </c>
      <c r="U179" s="14">
        <f t="shared" si="99"/>
        <v>15380.615810411418</v>
      </c>
      <c r="V179" s="14">
        <f t="shared" si="99"/>
        <v>15449.920705832639</v>
      </c>
      <c r="W179" s="14">
        <f t="shared" si="99"/>
        <v>15630.857716937919</v>
      </c>
      <c r="X179" s="187">
        <f t="shared" si="99"/>
        <v>15780.372765135311</v>
      </c>
      <c r="Y179" s="158">
        <f t="shared" si="99"/>
        <v>15855.03874020293</v>
      </c>
      <c r="Z179" s="158">
        <f t="shared" si="99"/>
        <v>15928.043052282184</v>
      </c>
      <c r="AA179" s="158">
        <f t="shared" si="99"/>
        <v>15993.280363691005</v>
      </c>
      <c r="AB179" s="158">
        <f t="shared" si="99"/>
        <v>15930.102935909525</v>
      </c>
      <c r="AC179" s="158">
        <f t="shared" si="99"/>
        <v>16039.197179971081</v>
      </c>
      <c r="AD179" s="158">
        <f t="shared" si="99"/>
        <v>16041.820408502712</v>
      </c>
      <c r="AE179" s="158">
        <f t="shared" si="99"/>
        <v>16081.907277601251</v>
      </c>
      <c r="AF179" s="158">
        <f t="shared" si="99"/>
        <v>16163.838734924309</v>
      </c>
      <c r="AG179" s="158">
        <f t="shared" si="99"/>
        <v>16426.085738085971</v>
      </c>
      <c r="AH179" s="187">
        <f t="shared" si="99"/>
        <v>16600.899497834722</v>
      </c>
    </row>
    <row r="180" spans="1:35">
      <c r="A180" s="76" t="s">
        <v>302</v>
      </c>
      <c r="C180" s="331">
        <f>C118</f>
        <v>7105.7412000000013</v>
      </c>
      <c r="D180" s="331">
        <f t="shared" ref="D180:AH180" si="100">D118+D250+D253</f>
        <v>7625.6760694123341</v>
      </c>
      <c r="E180" s="331">
        <f t="shared" si="100"/>
        <v>7544.4982639504724</v>
      </c>
      <c r="F180" s="331">
        <f t="shared" si="100"/>
        <v>7424.5621746659544</v>
      </c>
      <c r="G180" s="331">
        <f t="shared" si="100"/>
        <v>6957.7120020223992</v>
      </c>
      <c r="H180" s="402">
        <f t="shared" si="100"/>
        <v>7101.8981254964347</v>
      </c>
      <c r="I180" s="14">
        <f t="shared" si="100"/>
        <v>7295.3699296227542</v>
      </c>
      <c r="J180" s="14">
        <f t="shared" si="100"/>
        <v>7335.750374853601</v>
      </c>
      <c r="K180" s="14">
        <f t="shared" si="100"/>
        <v>7501.3437970019568</v>
      </c>
      <c r="L180" s="14">
        <f t="shared" si="100"/>
        <v>7405.235355424511</v>
      </c>
      <c r="M180" s="14">
        <f t="shared" si="100"/>
        <v>7574.4767592674352</v>
      </c>
      <c r="N180" s="187">
        <f t="shared" si="100"/>
        <v>7461.4845248281617</v>
      </c>
      <c r="O180" s="14">
        <f t="shared" si="100"/>
        <v>7553.0346309769857</v>
      </c>
      <c r="P180" s="14">
        <f t="shared" si="100"/>
        <v>7607.4265714057155</v>
      </c>
      <c r="Q180" s="14">
        <f t="shared" si="100"/>
        <v>7747.55351954668</v>
      </c>
      <c r="R180" s="14">
        <f t="shared" si="100"/>
        <v>7831.8683987030427</v>
      </c>
      <c r="S180" s="14">
        <f t="shared" si="100"/>
        <v>7875.8882940839349</v>
      </c>
      <c r="T180" s="14">
        <f t="shared" si="100"/>
        <v>7989.2138876458775</v>
      </c>
      <c r="U180" s="14">
        <f t="shared" si="100"/>
        <v>8095.0612372506166</v>
      </c>
      <c r="V180" s="14">
        <f t="shared" si="100"/>
        <v>8131.5375014354022</v>
      </c>
      <c r="W180" s="14">
        <f t="shared" si="100"/>
        <v>8226.7675128382652</v>
      </c>
      <c r="X180" s="187">
        <f t="shared" si="100"/>
        <v>8305.4596485017519</v>
      </c>
      <c r="Y180" s="158">
        <f t="shared" si="100"/>
        <v>8344.757535507104</v>
      </c>
      <c r="Z180" s="158">
        <f t="shared" si="100"/>
        <v>8383.1808630981886</v>
      </c>
      <c r="AA180" s="158">
        <f t="shared" si="100"/>
        <v>8417.5162955333053</v>
      </c>
      <c r="AB180" s="158">
        <f t="shared" si="100"/>
        <v>8384.2650206692797</v>
      </c>
      <c r="AC180" s="158">
        <f t="shared" si="100"/>
        <v>8441.6830502517532</v>
      </c>
      <c r="AD180" s="158">
        <f t="shared" si="100"/>
        <v>8443.063701180261</v>
      </c>
      <c r="AE180" s="158">
        <f t="shared" si="100"/>
        <v>8464.162058495398</v>
      </c>
      <c r="AF180" s="158">
        <f t="shared" si="100"/>
        <v>8507.2838842447563</v>
      </c>
      <c r="AG180" s="158">
        <f t="shared" si="100"/>
        <v>8645.3086327684905</v>
      </c>
      <c r="AH180" s="187">
        <f t="shared" si="100"/>
        <v>8737.3158830788889</v>
      </c>
    </row>
    <row r="181" spans="1:35">
      <c r="A181" s="76" t="s">
        <v>303</v>
      </c>
      <c r="C181" s="331">
        <f>C145</f>
        <v>6395.1668100000015</v>
      </c>
      <c r="D181" s="331">
        <f t="shared" ref="D181:AH181" si="101">D145+D251+D254</f>
        <v>6863.1081464560002</v>
      </c>
      <c r="E181" s="331">
        <f t="shared" si="101"/>
        <v>6790.0480990260776</v>
      </c>
      <c r="F181" s="331">
        <f t="shared" si="101"/>
        <v>6682.105595136476</v>
      </c>
      <c r="G181" s="331">
        <f t="shared" si="101"/>
        <v>6261.9404305206108</v>
      </c>
      <c r="H181" s="402">
        <f>H145+H251+H254</f>
        <v>6391.7080429467915</v>
      </c>
      <c r="I181" s="14">
        <f t="shared" si="101"/>
        <v>6565.8326341295351</v>
      </c>
      <c r="J181" s="14">
        <f t="shared" si="101"/>
        <v>6602.1750057093641</v>
      </c>
      <c r="K181" s="14">
        <f t="shared" si="101"/>
        <v>6751.2090478871505</v>
      </c>
      <c r="L181" s="14">
        <f t="shared" si="101"/>
        <v>6664.7114228382661</v>
      </c>
      <c r="M181" s="14">
        <f t="shared" si="101"/>
        <v>6817.0286417550287</v>
      </c>
      <c r="N181" s="187">
        <f t="shared" si="101"/>
        <v>6715.3355997864383</v>
      </c>
      <c r="O181" s="14">
        <f t="shared" si="101"/>
        <v>6797.7306859108512</v>
      </c>
      <c r="P181" s="14">
        <f t="shared" si="101"/>
        <v>6846.6834251524751</v>
      </c>
      <c r="Q181" s="14">
        <f t="shared" si="101"/>
        <v>6972.7976657231366</v>
      </c>
      <c r="R181" s="14">
        <f t="shared" si="101"/>
        <v>7048.6810476664705</v>
      </c>
      <c r="S181" s="14">
        <f t="shared" si="101"/>
        <v>7088.2989467421512</v>
      </c>
      <c r="T181" s="14">
        <f t="shared" si="101"/>
        <v>7190.2919695527598</v>
      </c>
      <c r="U181" s="14">
        <f t="shared" si="101"/>
        <v>7285.5545731608008</v>
      </c>
      <c r="V181" s="14">
        <f t="shared" si="101"/>
        <v>7318.383204397237</v>
      </c>
      <c r="W181" s="14">
        <f t="shared" si="101"/>
        <v>7404.0902040996534</v>
      </c>
      <c r="X181" s="187">
        <f t="shared" si="101"/>
        <v>7474.9131166335583</v>
      </c>
      <c r="Y181" s="158">
        <f t="shared" si="101"/>
        <v>7510.281204695827</v>
      </c>
      <c r="Z181" s="158">
        <f t="shared" si="101"/>
        <v>7544.8621891839957</v>
      </c>
      <c r="AA181" s="158">
        <f t="shared" si="101"/>
        <v>7575.7640681576995</v>
      </c>
      <c r="AB181" s="158">
        <f t="shared" si="101"/>
        <v>7545.8379152402449</v>
      </c>
      <c r="AC181" s="158">
        <f t="shared" si="101"/>
        <v>7597.5141297193286</v>
      </c>
      <c r="AD181" s="158">
        <f t="shared" si="101"/>
        <v>7598.7567073224509</v>
      </c>
      <c r="AE181" s="158">
        <f t="shared" si="101"/>
        <v>7617.7452191058537</v>
      </c>
      <c r="AF181" s="158">
        <f t="shared" si="101"/>
        <v>7656.5548506795521</v>
      </c>
      <c r="AG181" s="158">
        <f t="shared" si="101"/>
        <v>7780.7771053174793</v>
      </c>
      <c r="AH181" s="187">
        <f t="shared" si="101"/>
        <v>7863.583614755833</v>
      </c>
      <c r="AI181" s="31" t="s">
        <v>0</v>
      </c>
    </row>
    <row r="182" spans="1:35" s="1" customFormat="1">
      <c r="A182" s="75" t="s">
        <v>304</v>
      </c>
      <c r="B182" s="13"/>
      <c r="C182" s="341" t="s">
        <v>0</v>
      </c>
      <c r="D182" s="341">
        <f t="shared" ref="D182:AH182" si="102">D179-D176</f>
        <v>-25.774064131666819</v>
      </c>
      <c r="E182" s="341">
        <f t="shared" si="102"/>
        <v>-36.003004983565916</v>
      </c>
      <c r="F182" s="341">
        <f t="shared" si="102"/>
        <v>-23.131423007527701</v>
      </c>
      <c r="G182" s="341">
        <f t="shared" si="102"/>
        <v>-17.884847978337348</v>
      </c>
      <c r="H182" s="405">
        <f>H179-H176</f>
        <v>-0.27197000000160187</v>
      </c>
      <c r="I182" s="15">
        <f t="shared" si="102"/>
        <v>-19.099938839801325</v>
      </c>
      <c r="J182" s="15">
        <f t="shared" si="102"/>
        <v>33.027091834685052</v>
      </c>
      <c r="K182" s="15">
        <f t="shared" si="102"/>
        <v>18.038601203505095</v>
      </c>
      <c r="L182" s="15">
        <f t="shared" si="102"/>
        <v>201.13569927256322</v>
      </c>
      <c r="M182" s="15">
        <f t="shared" si="102"/>
        <v>261.50106039408638</v>
      </c>
      <c r="N182" s="190">
        <f t="shared" si="102"/>
        <v>467.60135954733596</v>
      </c>
      <c r="O182" s="15">
        <f t="shared" si="102"/>
        <v>475.56068746808705</v>
      </c>
      <c r="P182" s="15">
        <f t="shared" si="102"/>
        <v>471.13678780773262</v>
      </c>
      <c r="Q182" s="15">
        <f t="shared" si="102"/>
        <v>492.09718644139502</v>
      </c>
      <c r="R182" s="15">
        <f t="shared" si="102"/>
        <v>489.40799258718107</v>
      </c>
      <c r="S182" s="15">
        <f t="shared" si="102"/>
        <v>491.62985399129684</v>
      </c>
      <c r="T182" s="15">
        <f t="shared" si="102"/>
        <v>508.05446556539209</v>
      </c>
      <c r="U182" s="15">
        <f t="shared" si="102"/>
        <v>515.05709994657445</v>
      </c>
      <c r="V182" s="15">
        <f t="shared" si="102"/>
        <v>519.24404972673437</v>
      </c>
      <c r="W182" s="15">
        <f t="shared" si="102"/>
        <v>534.0476767211203</v>
      </c>
      <c r="X182" s="190">
        <f t="shared" si="102"/>
        <v>542.6045166321237</v>
      </c>
      <c r="Y182" s="130">
        <f t="shared" si="102"/>
        <v>556.29126936614921</v>
      </c>
      <c r="Z182" s="130">
        <f t="shared" si="102"/>
        <v>569.65851650676814</v>
      </c>
      <c r="AA182" s="130">
        <f t="shared" si="102"/>
        <v>580.4319152172211</v>
      </c>
      <c r="AB182" s="130">
        <f t="shared" si="102"/>
        <v>576.99094383232114</v>
      </c>
      <c r="AC182" s="130">
        <f t="shared" si="102"/>
        <v>593.67718374269316</v>
      </c>
      <c r="AD182" s="130">
        <f t="shared" si="102"/>
        <v>598.544350330616</v>
      </c>
      <c r="AE182" s="130">
        <f t="shared" si="102"/>
        <v>609.12697509472127</v>
      </c>
      <c r="AF182" s="130">
        <f t="shared" si="102"/>
        <v>624.50195471078405</v>
      </c>
      <c r="AG182" s="130">
        <f t="shared" si="102"/>
        <v>659.37988830178801</v>
      </c>
      <c r="AH182" s="190">
        <f t="shared" si="102"/>
        <v>686.99047797170715</v>
      </c>
    </row>
    <row r="183" spans="1:35" s="20" customFormat="1">
      <c r="A183" s="20" t="s">
        <v>305</v>
      </c>
      <c r="B183" s="33"/>
      <c r="C183" s="334" t="s">
        <v>0</v>
      </c>
      <c r="D183" s="334">
        <f t="shared" ref="D183:AH183" si="103">D180-D177</f>
        <v>-13.565130587666317</v>
      </c>
      <c r="E183" s="334">
        <f t="shared" si="103"/>
        <v>-18.948771818010755</v>
      </c>
      <c r="F183" s="334">
        <f t="shared" si="103"/>
        <v>-12.174242602444792</v>
      </c>
      <c r="G183" s="334">
        <f t="shared" si="103"/>
        <v>-9.4128824625213383</v>
      </c>
      <c r="H183" s="404">
        <f>H180-H177</f>
        <v>-0.1430000000009386</v>
      </c>
      <c r="I183" s="19">
        <f t="shared" si="103"/>
        <v>-10.052440162557104</v>
      </c>
      <c r="J183" s="19">
        <f t="shared" si="103"/>
        <v>17.38285447029557</v>
      </c>
      <c r="K183" s="19">
        <f t="shared" si="103"/>
        <v>9.4941950621659998</v>
      </c>
      <c r="L183" s="19">
        <f t="shared" si="103"/>
        <v>105.86110332439966</v>
      </c>
      <c r="M183" s="19">
        <f t="shared" si="103"/>
        <v>137.6323694630255</v>
      </c>
      <c r="N183" s="182">
        <f t="shared" si="103"/>
        <v>246.10622742433952</v>
      </c>
      <c r="O183" s="19">
        <f t="shared" si="103"/>
        <v>250.29535233501247</v>
      </c>
      <c r="P183" s="19">
        <f t="shared" si="103"/>
        <v>247.96698785284298</v>
      </c>
      <c r="Q183" s="19">
        <f t="shared" si="103"/>
        <v>258.99878332119442</v>
      </c>
      <c r="R183" s="19">
        <f t="shared" si="103"/>
        <v>257.58342302813071</v>
      </c>
      <c r="S183" s="19">
        <f t="shared" si="103"/>
        <v>258.75282732878259</v>
      </c>
      <c r="T183" s="19">
        <f t="shared" si="103"/>
        <v>267.3973657336428</v>
      </c>
      <c r="U183" s="19">
        <f t="shared" si="103"/>
        <v>271.08296858490849</v>
      </c>
      <c r="V183" s="19">
        <f t="shared" si="103"/>
        <v>273.28662980071567</v>
      </c>
      <c r="W183" s="19">
        <f t="shared" si="103"/>
        <v>281.07801798731907</v>
      </c>
      <c r="X183" s="182">
        <f t="shared" si="103"/>
        <v>285.58162297375929</v>
      </c>
      <c r="Y183" s="206">
        <f t="shared" si="103"/>
        <v>292.78518243511371</v>
      </c>
      <c r="Z183" s="206">
        <f t="shared" si="103"/>
        <v>299.82058111112747</v>
      </c>
      <c r="AA183" s="206">
        <f t="shared" si="103"/>
        <v>305.49079633657675</v>
      </c>
      <c r="AB183" s="206">
        <f t="shared" si="103"/>
        <v>303.67976168127734</v>
      </c>
      <c r="AC183" s="206">
        <f t="shared" si="103"/>
        <v>312.46199960523336</v>
      </c>
      <c r="AD183" s="206">
        <f t="shared" si="103"/>
        <v>315.0236705633688</v>
      </c>
      <c r="AE183" s="206">
        <f t="shared" si="103"/>
        <v>320.59347822880409</v>
      </c>
      <c r="AF183" s="206">
        <f t="shared" si="103"/>
        <v>328.68557886921644</v>
      </c>
      <c r="AG183" s="206">
        <f t="shared" si="103"/>
        <v>347.04239603997303</v>
      </c>
      <c r="AH183" s="182">
        <f t="shared" si="103"/>
        <v>361.57429367730219</v>
      </c>
    </row>
    <row r="184" spans="1:35" s="20" customFormat="1">
      <c r="A184" s="20" t="s">
        <v>306</v>
      </c>
      <c r="B184" s="33"/>
      <c r="C184" s="334" t="s">
        <v>0</v>
      </c>
      <c r="D184" s="334">
        <f t="shared" ref="D184:AH184" si="104">D181-D178</f>
        <v>-12.208933544000502</v>
      </c>
      <c r="E184" s="334">
        <f t="shared" si="104"/>
        <v>-17.05423316555607</v>
      </c>
      <c r="F184" s="334">
        <f t="shared" si="104"/>
        <v>-10.957180405082909</v>
      </c>
      <c r="G184" s="334">
        <f t="shared" si="104"/>
        <v>-8.4719655158178284</v>
      </c>
      <c r="H184" s="404">
        <f t="shared" si="104"/>
        <v>-0.12897000000066328</v>
      </c>
      <c r="I184" s="19">
        <f t="shared" si="104"/>
        <v>-9.0474986772442207</v>
      </c>
      <c r="J184" s="19">
        <f t="shared" si="104"/>
        <v>15.644237364389483</v>
      </c>
      <c r="K184" s="19">
        <f t="shared" si="104"/>
        <v>8.5444061413390955</v>
      </c>
      <c r="L184" s="19">
        <f t="shared" si="104"/>
        <v>95.27459594816446</v>
      </c>
      <c r="M184" s="19">
        <f t="shared" si="104"/>
        <v>123.86869093106088</v>
      </c>
      <c r="N184" s="182">
        <f t="shared" si="104"/>
        <v>221.49513212299644</v>
      </c>
      <c r="O184" s="19">
        <f t="shared" si="104"/>
        <v>225.26533513307459</v>
      </c>
      <c r="P184" s="19">
        <f t="shared" si="104"/>
        <v>223.16979995488964</v>
      </c>
      <c r="Q184" s="19">
        <f t="shared" si="104"/>
        <v>233.09840312019969</v>
      </c>
      <c r="R184" s="19">
        <f t="shared" si="104"/>
        <v>231.82456955904945</v>
      </c>
      <c r="S184" s="19">
        <f t="shared" si="104"/>
        <v>232.87702666251425</v>
      </c>
      <c r="T184" s="19">
        <f t="shared" si="104"/>
        <v>240.65709983174929</v>
      </c>
      <c r="U184" s="19">
        <f t="shared" si="104"/>
        <v>243.97413136166415</v>
      </c>
      <c r="V184" s="19">
        <f t="shared" si="104"/>
        <v>245.95741992601961</v>
      </c>
      <c r="W184" s="19">
        <f t="shared" si="104"/>
        <v>252.96965873380123</v>
      </c>
      <c r="X184" s="182">
        <f t="shared" si="104"/>
        <v>257.02289365836441</v>
      </c>
      <c r="Y184" s="206">
        <f t="shared" si="104"/>
        <v>263.5060869310355</v>
      </c>
      <c r="Z184" s="206">
        <f t="shared" si="104"/>
        <v>269.83793539564067</v>
      </c>
      <c r="AA184" s="206">
        <f t="shared" si="104"/>
        <v>274.94111888064435</v>
      </c>
      <c r="AB184" s="206">
        <f t="shared" si="104"/>
        <v>273.31118215104289</v>
      </c>
      <c r="AC184" s="206">
        <f t="shared" si="104"/>
        <v>281.21518413746071</v>
      </c>
      <c r="AD184" s="206">
        <f t="shared" si="104"/>
        <v>283.5206797672472</v>
      </c>
      <c r="AE184" s="206">
        <f t="shared" si="104"/>
        <v>288.5334968659181</v>
      </c>
      <c r="AF184" s="206">
        <f t="shared" si="104"/>
        <v>295.81637584156579</v>
      </c>
      <c r="AG184" s="206">
        <f t="shared" si="104"/>
        <v>312.33749226181317</v>
      </c>
      <c r="AH184" s="182">
        <f t="shared" si="104"/>
        <v>325.41618429440496</v>
      </c>
    </row>
    <row r="185" spans="1:35" s="1" customFormat="1">
      <c r="A185" s="1" t="s">
        <v>450</v>
      </c>
      <c r="B185" s="13"/>
      <c r="C185" s="341"/>
      <c r="D185" s="341">
        <f>D182</f>
        <v>-25.774064131666819</v>
      </c>
      <c r="E185" s="341">
        <f>D185+E182</f>
        <v>-61.777069115232734</v>
      </c>
      <c r="F185" s="341">
        <f t="shared" ref="E185:N187" si="105">E185+F182</f>
        <v>-84.908492122760435</v>
      </c>
      <c r="G185" s="341">
        <f t="shared" si="105"/>
        <v>-102.79334010109778</v>
      </c>
      <c r="H185" s="405">
        <f>H182</f>
        <v>-0.27197000000160187</v>
      </c>
      <c r="I185" s="15">
        <f t="shared" si="105"/>
        <v>-19.371908839802927</v>
      </c>
      <c r="J185" s="15">
        <f t="shared" si="105"/>
        <v>13.655182994882125</v>
      </c>
      <c r="K185" s="15">
        <f t="shared" si="105"/>
        <v>31.69378419838722</v>
      </c>
      <c r="L185" s="15">
        <f t="shared" si="105"/>
        <v>232.82948347095044</v>
      </c>
      <c r="M185" s="15">
        <f t="shared" si="105"/>
        <v>494.33054386503682</v>
      </c>
      <c r="N185" s="15">
        <f t="shared" si="105"/>
        <v>961.93190341237278</v>
      </c>
      <c r="O185" s="15">
        <f t="shared" ref="O185:X185" si="106">N185+O182</f>
        <v>1437.4925908804598</v>
      </c>
      <c r="P185" s="15">
        <f t="shared" si="106"/>
        <v>1908.6293786881924</v>
      </c>
      <c r="Q185" s="15">
        <f t="shared" si="106"/>
        <v>2400.7265651295875</v>
      </c>
      <c r="R185" s="15">
        <f t="shared" si="106"/>
        <v>2890.1345577167685</v>
      </c>
      <c r="S185" s="130">
        <f t="shared" si="106"/>
        <v>3381.7644117080654</v>
      </c>
      <c r="T185" s="15">
        <f t="shared" si="106"/>
        <v>3889.8188772734575</v>
      </c>
      <c r="U185" s="15">
        <f t="shared" si="106"/>
        <v>4404.8759772200319</v>
      </c>
      <c r="V185" s="15">
        <f t="shared" si="106"/>
        <v>4924.1200269467663</v>
      </c>
      <c r="W185" s="15">
        <f t="shared" si="106"/>
        <v>5458.1677036678866</v>
      </c>
      <c r="X185" s="190">
        <f t="shared" si="106"/>
        <v>6000.7722203000103</v>
      </c>
      <c r="Y185" s="130">
        <f t="shared" ref="Y185:AH185" si="107">X185+Y182</f>
        <v>6557.0634896661595</v>
      </c>
      <c r="Z185" s="130">
        <f t="shared" si="107"/>
        <v>7126.7220061729276</v>
      </c>
      <c r="AA185" s="130">
        <f t="shared" si="107"/>
        <v>7707.1539213901488</v>
      </c>
      <c r="AB185" s="130">
        <f t="shared" si="107"/>
        <v>8284.1448652224699</v>
      </c>
      <c r="AC185" s="130">
        <f t="shared" si="107"/>
        <v>8877.822048965163</v>
      </c>
      <c r="AD185" s="130">
        <f t="shared" si="107"/>
        <v>9476.366399295779</v>
      </c>
      <c r="AE185" s="130">
        <f t="shared" si="107"/>
        <v>10085.4933743905</v>
      </c>
      <c r="AF185" s="130">
        <f t="shared" si="107"/>
        <v>10709.995329101284</v>
      </c>
      <c r="AG185" s="130">
        <f t="shared" si="107"/>
        <v>11369.375217403072</v>
      </c>
      <c r="AH185" s="190">
        <f t="shared" si="107"/>
        <v>12056.36569537478</v>
      </c>
    </row>
    <row r="186" spans="1:35" s="20" customFormat="1">
      <c r="A186" s="20" t="s">
        <v>451</v>
      </c>
      <c r="B186" s="33"/>
      <c r="C186" s="334"/>
      <c r="D186" s="334">
        <f>D183</f>
        <v>-13.565130587666317</v>
      </c>
      <c r="E186" s="334">
        <f t="shared" si="105"/>
        <v>-32.513902405677072</v>
      </c>
      <c r="F186" s="334">
        <f t="shared" si="105"/>
        <v>-44.688145008121865</v>
      </c>
      <c r="G186" s="334">
        <f t="shared" si="105"/>
        <v>-54.101027470643203</v>
      </c>
      <c r="H186" s="404">
        <f t="shared" si="105"/>
        <v>-54.244027470644141</v>
      </c>
      <c r="I186" s="19">
        <f t="shared" ref="I186:X186" si="108">H186+I183</f>
        <v>-64.296467633201246</v>
      </c>
      <c r="J186" s="19">
        <f t="shared" si="108"/>
        <v>-46.913613162905676</v>
      </c>
      <c r="K186" s="19">
        <f t="shared" si="108"/>
        <v>-37.419418100739676</v>
      </c>
      <c r="L186" s="19">
        <f t="shared" si="108"/>
        <v>68.441685223659988</v>
      </c>
      <c r="M186" s="19">
        <f t="shared" si="108"/>
        <v>206.07405468668549</v>
      </c>
      <c r="N186" s="182">
        <f t="shared" si="108"/>
        <v>452.18028211102501</v>
      </c>
      <c r="O186" s="19">
        <f t="shared" si="108"/>
        <v>702.47563444603747</v>
      </c>
      <c r="P186" s="19">
        <f t="shared" si="108"/>
        <v>950.44262229888045</v>
      </c>
      <c r="Q186" s="19">
        <f t="shared" si="108"/>
        <v>1209.4414056200749</v>
      </c>
      <c r="R186" s="19">
        <f t="shared" si="108"/>
        <v>1467.0248286482056</v>
      </c>
      <c r="S186" s="206">
        <f t="shared" si="108"/>
        <v>1725.7776559769882</v>
      </c>
      <c r="T186" s="19">
        <f t="shared" si="108"/>
        <v>1993.175021710631</v>
      </c>
      <c r="U186" s="19">
        <f t="shared" si="108"/>
        <v>2264.2579902955395</v>
      </c>
      <c r="V186" s="19">
        <f t="shared" si="108"/>
        <v>2537.5446200962551</v>
      </c>
      <c r="W186" s="19">
        <f t="shared" si="108"/>
        <v>2818.6226380835742</v>
      </c>
      <c r="X186" s="182">
        <f t="shared" si="108"/>
        <v>3104.2042610573335</v>
      </c>
      <c r="Y186" s="206">
        <f t="shared" ref="Y186:AH186" si="109">X186+Y183</f>
        <v>3396.9894434924472</v>
      </c>
      <c r="Z186" s="206">
        <f t="shared" si="109"/>
        <v>3696.8100246035747</v>
      </c>
      <c r="AA186" s="206">
        <f t="shared" si="109"/>
        <v>4002.3008209401514</v>
      </c>
      <c r="AB186" s="206">
        <f t="shared" si="109"/>
        <v>4305.9805826214288</v>
      </c>
      <c r="AC186" s="206">
        <f t="shared" si="109"/>
        <v>4618.4425822266621</v>
      </c>
      <c r="AD186" s="206">
        <f t="shared" si="109"/>
        <v>4933.4662527900309</v>
      </c>
      <c r="AE186" s="206">
        <f t="shared" si="109"/>
        <v>5254.059731018835</v>
      </c>
      <c r="AF186" s="206">
        <f t="shared" si="109"/>
        <v>5582.7453098880515</v>
      </c>
      <c r="AG186" s="206">
        <f t="shared" si="109"/>
        <v>5929.7877059280245</v>
      </c>
      <c r="AH186" s="182">
        <f t="shared" si="109"/>
        <v>6291.3619996053267</v>
      </c>
    </row>
    <row r="187" spans="1:35" s="20" customFormat="1">
      <c r="A187" s="20" t="s">
        <v>452</v>
      </c>
      <c r="B187" s="33"/>
      <c r="C187" s="334"/>
      <c r="D187" s="334">
        <f>D184</f>
        <v>-12.208933544000502</v>
      </c>
      <c r="E187" s="334">
        <f t="shared" si="105"/>
        <v>-29.263166709556572</v>
      </c>
      <c r="F187" s="334">
        <f t="shared" si="105"/>
        <v>-40.22034711463948</v>
      </c>
      <c r="G187" s="334">
        <f t="shared" si="105"/>
        <v>-48.692312630457309</v>
      </c>
      <c r="H187" s="404">
        <f t="shared" si="105"/>
        <v>-48.821282630457972</v>
      </c>
      <c r="I187" s="19">
        <f t="shared" ref="I187:X187" si="110">H187+I184</f>
        <v>-57.868781307702193</v>
      </c>
      <c r="J187" s="19">
        <f t="shared" si="110"/>
        <v>-42.22454394331271</v>
      </c>
      <c r="K187" s="19">
        <f t="shared" si="110"/>
        <v>-33.680137801973615</v>
      </c>
      <c r="L187" s="19">
        <f t="shared" si="110"/>
        <v>61.594458146190846</v>
      </c>
      <c r="M187" s="19">
        <f t="shared" si="110"/>
        <v>185.46314907725173</v>
      </c>
      <c r="N187" s="182">
        <f t="shared" si="110"/>
        <v>406.95828120024817</v>
      </c>
      <c r="O187" s="19">
        <f t="shared" si="110"/>
        <v>632.22361633332275</v>
      </c>
      <c r="P187" s="19">
        <f t="shared" si="110"/>
        <v>855.39341628821239</v>
      </c>
      <c r="Q187" s="19">
        <f t="shared" si="110"/>
        <v>1088.4918194084121</v>
      </c>
      <c r="R187" s="19">
        <f t="shared" si="110"/>
        <v>1320.3163889674615</v>
      </c>
      <c r="S187" s="206">
        <f t="shared" si="110"/>
        <v>1553.1934156299758</v>
      </c>
      <c r="T187" s="19">
        <f t="shared" si="110"/>
        <v>1793.8505154617251</v>
      </c>
      <c r="U187" s="19">
        <f t="shared" si="110"/>
        <v>2037.8246468233892</v>
      </c>
      <c r="V187" s="19">
        <f t="shared" si="110"/>
        <v>2283.7820667494088</v>
      </c>
      <c r="W187" s="19">
        <f t="shared" si="110"/>
        <v>2536.7517254832101</v>
      </c>
      <c r="X187" s="182">
        <f t="shared" si="110"/>
        <v>2793.7746191415745</v>
      </c>
      <c r="Y187" s="206">
        <f t="shared" ref="Y187:AH187" si="111">X187+Y184</f>
        <v>3057.28070607261</v>
      </c>
      <c r="Z187" s="206">
        <f t="shared" si="111"/>
        <v>3327.1186414682506</v>
      </c>
      <c r="AA187" s="206">
        <f t="shared" si="111"/>
        <v>3602.059760348895</v>
      </c>
      <c r="AB187" s="206">
        <f t="shared" si="111"/>
        <v>3875.3709424999379</v>
      </c>
      <c r="AC187" s="206">
        <f t="shared" si="111"/>
        <v>4156.5861266373986</v>
      </c>
      <c r="AD187" s="206">
        <f t="shared" si="111"/>
        <v>4440.1068064046458</v>
      </c>
      <c r="AE187" s="206">
        <f t="shared" si="111"/>
        <v>4728.6403032705639</v>
      </c>
      <c r="AF187" s="206">
        <f t="shared" si="111"/>
        <v>5024.4566791121297</v>
      </c>
      <c r="AG187" s="206">
        <f t="shared" si="111"/>
        <v>5336.7941713739428</v>
      </c>
      <c r="AH187" s="182">
        <f t="shared" si="111"/>
        <v>5662.2103556683478</v>
      </c>
    </row>
    <row r="188" spans="1:35" s="519" customFormat="1">
      <c r="A188" s="519" t="s">
        <v>550</v>
      </c>
      <c r="B188" s="520"/>
      <c r="C188"/>
      <c r="D188"/>
      <c r="E188"/>
      <c r="F188"/>
      <c r="G188"/>
      <c r="H188"/>
      <c r="I188"/>
      <c r="J188"/>
      <c r="K188"/>
      <c r="L188"/>
      <c r="M188"/>
      <c r="N188"/>
      <c r="O188"/>
      <c r="P188"/>
      <c r="Q188"/>
      <c r="R188"/>
      <c r="S188"/>
      <c r="T188"/>
      <c r="U188"/>
      <c r="V188"/>
      <c r="W188"/>
      <c r="X188"/>
      <c r="Y188"/>
      <c r="Z188"/>
      <c r="AA188"/>
      <c r="AB188" s="522"/>
      <c r="AC188" s="522"/>
      <c r="AD188" s="522"/>
      <c r="AE188" s="522"/>
      <c r="AF188" s="522"/>
      <c r="AG188" s="522"/>
      <c r="AH188" s="521"/>
    </row>
    <row r="189" spans="1:35"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35" s="1" customFormat="1">
      <c r="A190" s="1" t="s">
        <v>412</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406</v>
      </c>
      <c r="I191" s="112"/>
      <c r="J191" s="112"/>
      <c r="K191" s="112"/>
      <c r="L191" s="112"/>
      <c r="M191" s="131"/>
      <c r="N191" s="192"/>
      <c r="O191" s="131"/>
      <c r="P191" s="112"/>
      <c r="Q191" s="112"/>
      <c r="R191" s="131"/>
      <c r="S191" s="131"/>
      <c r="T191" s="131"/>
      <c r="U191" s="131"/>
      <c r="V191" s="112"/>
      <c r="W191" s="112"/>
    </row>
    <row r="192" spans="1:35">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331">
        <f>SUM(C195:C196)</f>
        <v>785.99712999999997</v>
      </c>
      <c r="D194" s="331">
        <f t="shared" ref="D194:AH194" si="112">SUM(D195:D196)</f>
        <v>835.70113000000003</v>
      </c>
      <c r="E194" s="331">
        <f t="shared" si="112"/>
        <v>1050.2382072626026</v>
      </c>
      <c r="F194" s="331">
        <f t="shared" si="112"/>
        <v>1178.1457122076213</v>
      </c>
      <c r="G194" s="331">
        <f t="shared" si="112"/>
        <v>1080.573278009769</v>
      </c>
      <c r="H194" s="402">
        <f t="shared" si="112"/>
        <v>1168.8196440468346</v>
      </c>
      <c r="I194" s="14">
        <f t="shared" si="112"/>
        <v>1264.154167434041</v>
      </c>
      <c r="J194" s="14">
        <f t="shared" si="112"/>
        <v>1358.5520879310393</v>
      </c>
      <c r="K194" s="14">
        <f t="shared" si="112"/>
        <v>1378.2089589453922</v>
      </c>
      <c r="L194" s="14">
        <f t="shared" si="112"/>
        <v>1425.5966728563385</v>
      </c>
      <c r="M194" s="14">
        <f t="shared" si="112"/>
        <v>1456.4131783617638</v>
      </c>
      <c r="N194" s="187">
        <f t="shared" si="112"/>
        <v>1504.873418080846</v>
      </c>
      <c r="O194" s="14">
        <f t="shared" si="112"/>
        <v>1536.3666525615185</v>
      </c>
      <c r="P194" s="14">
        <f t="shared" si="112"/>
        <v>1579.2259418979449</v>
      </c>
      <c r="Q194" s="14">
        <f t="shared" si="112"/>
        <v>1604.0026250587612</v>
      </c>
      <c r="R194" s="14">
        <f t="shared" si="112"/>
        <v>1656.2441276225388</v>
      </c>
      <c r="S194" s="15">
        <f t="shared" si="112"/>
        <v>1682.0265842970348</v>
      </c>
      <c r="T194" s="14">
        <f t="shared" si="112"/>
        <v>1706.724106561594</v>
      </c>
      <c r="U194" s="14">
        <f t="shared" si="112"/>
        <v>1731.1007106772431</v>
      </c>
      <c r="V194" s="14">
        <f t="shared" si="112"/>
        <v>1750.6066932806489</v>
      </c>
      <c r="W194" s="14">
        <f t="shared" si="112"/>
        <v>1772.5813486208028</v>
      </c>
      <c r="X194" s="187">
        <f t="shared" si="112"/>
        <v>1799.2946157609319</v>
      </c>
      <c r="Y194" s="158">
        <f t="shared" si="112"/>
        <v>1819.9199868917035</v>
      </c>
      <c r="Z194" s="158">
        <f t="shared" si="112"/>
        <v>1839.5068241552913</v>
      </c>
      <c r="AA194" s="158">
        <f t="shared" si="112"/>
        <v>1865.6845317080381</v>
      </c>
      <c r="AB194" s="158">
        <f t="shared" si="112"/>
        <v>1893.1703143902278</v>
      </c>
      <c r="AC194" s="158">
        <f t="shared" si="112"/>
        <v>1918.3254837492491</v>
      </c>
      <c r="AD194" s="158">
        <f t="shared" si="112"/>
        <v>1944.2796698592581</v>
      </c>
      <c r="AE194" s="158">
        <f t="shared" si="112"/>
        <v>1967.7772849637804</v>
      </c>
      <c r="AF194" s="158">
        <f t="shared" si="112"/>
        <v>1991.7342085789878</v>
      </c>
      <c r="AG194" s="158">
        <f t="shared" si="112"/>
        <v>2018.9297434900113</v>
      </c>
      <c r="AH194" s="187">
        <f t="shared" si="112"/>
        <v>2042.3619297447945</v>
      </c>
    </row>
    <row r="195" spans="1:34">
      <c r="A195" t="s">
        <v>389</v>
      </c>
      <c r="C195" s="330">
        <f>'Output - Jobs vs Yr (BAU)'!C51</f>
        <v>413.68269999999995</v>
      </c>
      <c r="D195" s="330">
        <f>'Output - Jobs vs Yr (BAU)'!D51</f>
        <v>439.84270000000004</v>
      </c>
      <c r="E195" s="330">
        <f>'Output - Jobs vs Yr (BAU)'!E51</f>
        <v>552.75695119084344</v>
      </c>
      <c r="F195" s="330">
        <f>'Output - Jobs vs Yr (BAU)'!F51</f>
        <v>620.07669063559024</v>
      </c>
      <c r="G195" s="330">
        <f>'Output - Jobs vs Yr (BAU)'!G51</f>
        <v>568.72277789987845</v>
      </c>
      <c r="H195" s="286">
        <f>'Output - Jobs vs Yr (BAU)'!H51</f>
        <v>615.16823370886027</v>
      </c>
      <c r="I195" s="118">
        <f>'Output - Jobs vs Yr (BAU)'!I51</f>
        <v>665.34429864949539</v>
      </c>
      <c r="J195" s="118">
        <f>'Output - Jobs vs Yr (BAU)'!J51</f>
        <v>715.02741470054707</v>
      </c>
      <c r="K195" s="118">
        <f>'Output - Jobs vs Yr (BAU)'!K51</f>
        <v>725.37313628704851</v>
      </c>
      <c r="L195" s="118">
        <f>'Output - Jobs vs Yr (BAU)'!L51</f>
        <v>750.3140383454413</v>
      </c>
      <c r="M195" s="118">
        <f>'Output - Jobs vs Yr (BAU)'!M51</f>
        <v>766.53325176934936</v>
      </c>
      <c r="N195" s="177">
        <f>'Output - Jobs vs Yr (BAU)'!N51</f>
        <v>792.03864109518213</v>
      </c>
      <c r="O195" s="118">
        <f>'Output - Jobs vs Yr (BAU)'!O51</f>
        <v>808.61402766395713</v>
      </c>
      <c r="P195" s="118">
        <f>'Output - Jobs vs Yr (BAU)'!P51</f>
        <v>831.17154836733948</v>
      </c>
      <c r="Q195" s="118">
        <f>'Output - Jobs vs Yr (BAU)'!Q51</f>
        <v>844.21190792566381</v>
      </c>
      <c r="R195" s="118">
        <f>'Output - Jobs vs Yr (BAU)'!R51</f>
        <v>871.70743559080984</v>
      </c>
      <c r="S195" s="118">
        <f>'Output - Jobs vs Yr (BAU)'!S51</f>
        <v>885.27714963001824</v>
      </c>
      <c r="T195" s="118">
        <f>'Output - Jobs vs Yr (BAU)'!T51</f>
        <v>898.27584555873375</v>
      </c>
      <c r="U195" s="118">
        <f>'Output - Jobs vs Yr (BAU)'!U51</f>
        <v>911.10563719854895</v>
      </c>
      <c r="V195" s="118">
        <f>'Output - Jobs vs Yr (BAU)'!V51</f>
        <v>921.37194383192036</v>
      </c>
      <c r="W195" s="118">
        <f>'Output - Jobs vs Yr (BAU)'!W51</f>
        <v>932.93755190568572</v>
      </c>
      <c r="X195" s="184">
        <f>'Output - Jobs vs Yr (BAU)'!X51</f>
        <v>946.99716618996422</v>
      </c>
      <c r="Y195" s="271">
        <f>'Output - Jobs vs Yr (BAU)'!Y51</f>
        <v>957.85262467984398</v>
      </c>
      <c r="Z195" s="271">
        <f>'Output - Jobs vs Yr (BAU)'!Z51</f>
        <v>968.1614863975218</v>
      </c>
      <c r="AA195" s="271">
        <f>'Output - Jobs vs Yr (BAU)'!AA51</f>
        <v>981.9392272147569</v>
      </c>
      <c r="AB195" s="271">
        <f>'Output - Jobs vs Yr (BAU)'!AB51</f>
        <v>996.40542862643565</v>
      </c>
      <c r="AC195" s="271">
        <f>'Output - Jobs vs Yr (BAU)'!AC51</f>
        <v>1009.6449914469733</v>
      </c>
      <c r="AD195" s="271">
        <f>'Output - Jobs vs Yr (BAU)'!AD51</f>
        <v>1023.3050893996095</v>
      </c>
      <c r="AE195" s="271">
        <f>'Output - Jobs vs Yr (BAU)'!AE51</f>
        <v>1035.6722552440949</v>
      </c>
      <c r="AF195" s="271">
        <f>'Output - Jobs vs Yr (BAU)'!AF51</f>
        <v>1048.2811624099936</v>
      </c>
      <c r="AG195" s="271">
        <f>'Output - Jobs vs Yr (BAU)'!AG51</f>
        <v>1062.5946018368481</v>
      </c>
      <c r="AH195" s="184">
        <f>'Output - Jobs vs Yr (BAU)'!AH51</f>
        <v>1074.9273314446286</v>
      </c>
    </row>
    <row r="196" spans="1:34">
      <c r="A196" t="s">
        <v>390</v>
      </c>
      <c r="C196" s="330">
        <f>'Output - Jobs vs Yr (BAU)'!C69</f>
        <v>372.31443000000002</v>
      </c>
      <c r="D196" s="330">
        <f>'Output - Jobs vs Yr (BAU)'!D69</f>
        <v>395.85843</v>
      </c>
      <c r="E196" s="330">
        <f>'Output - Jobs vs Yr (BAU)'!E69</f>
        <v>497.48125607175911</v>
      </c>
      <c r="F196" s="330">
        <f>'Output - Jobs vs Yr (BAU)'!F69</f>
        <v>558.06902157203115</v>
      </c>
      <c r="G196" s="330">
        <f>'Output - Jobs vs Yr (BAU)'!G69</f>
        <v>511.85050010989056</v>
      </c>
      <c r="H196" s="286">
        <f>'Output - Jobs vs Yr (BAU)'!H69</f>
        <v>553.6514103379742</v>
      </c>
      <c r="I196" s="118">
        <f>'Output - Jobs vs Yr (BAU)'!I69</f>
        <v>598.80986878454576</v>
      </c>
      <c r="J196" s="118">
        <f>'Output - Jobs vs Yr (BAU)'!J69</f>
        <v>643.52467323049223</v>
      </c>
      <c r="K196" s="118">
        <f>'Output - Jobs vs Yr (BAU)'!K69</f>
        <v>652.83582265834366</v>
      </c>
      <c r="L196" s="118">
        <f>'Output - Jobs vs Yr (BAU)'!L69</f>
        <v>675.28263451089708</v>
      </c>
      <c r="M196" s="118">
        <f>'Output - Jobs vs Yr (BAU)'!M69</f>
        <v>689.87992659241445</v>
      </c>
      <c r="N196" s="177">
        <f>'Output - Jobs vs Yr (BAU)'!N69</f>
        <v>712.83477698566378</v>
      </c>
      <c r="O196" s="118">
        <f>'Output - Jobs vs Yr (BAU)'!O69</f>
        <v>727.7526248975613</v>
      </c>
      <c r="P196" s="118">
        <f>'Output - Jobs vs Yr (BAU)'!P69</f>
        <v>748.05439353060547</v>
      </c>
      <c r="Q196" s="118">
        <f>'Output - Jobs vs Yr (BAU)'!Q69</f>
        <v>759.79071713309747</v>
      </c>
      <c r="R196" s="118">
        <f>'Output - Jobs vs Yr (BAU)'!R69</f>
        <v>784.53669203172899</v>
      </c>
      <c r="S196" s="118">
        <f>'Output - Jobs vs Yr (BAU)'!S69</f>
        <v>796.74943466701643</v>
      </c>
      <c r="T196" s="118">
        <f>'Output - Jobs vs Yr (BAU)'!T69</f>
        <v>808.44826100286036</v>
      </c>
      <c r="U196" s="118">
        <f>'Output - Jobs vs Yr (BAU)'!U69</f>
        <v>819.99507347869405</v>
      </c>
      <c r="V196" s="118">
        <f>'Output - Jobs vs Yr (BAU)'!V69</f>
        <v>829.23474944872839</v>
      </c>
      <c r="W196" s="118">
        <f>'Output - Jobs vs Yr (BAU)'!W69</f>
        <v>839.64379671511711</v>
      </c>
      <c r="X196" s="184">
        <f>'Output - Jobs vs Yr (BAU)'!X69</f>
        <v>852.29744957096773</v>
      </c>
      <c r="Y196" s="271">
        <f>'Output - Jobs vs Yr (BAU)'!Y69</f>
        <v>862.06736221185963</v>
      </c>
      <c r="Z196" s="271">
        <f>'Output - Jobs vs Yr (BAU)'!Z69</f>
        <v>871.34533775776958</v>
      </c>
      <c r="AA196" s="271">
        <f>'Output - Jobs vs Yr (BAU)'!AA69</f>
        <v>883.7453044932812</v>
      </c>
      <c r="AB196" s="271">
        <f>'Output - Jobs vs Yr (BAU)'!AB69</f>
        <v>896.76488576379222</v>
      </c>
      <c r="AC196" s="271">
        <f>'Output - Jobs vs Yr (BAU)'!AC69</f>
        <v>908.68049230227587</v>
      </c>
      <c r="AD196" s="271">
        <f>'Output - Jobs vs Yr (BAU)'!AD69</f>
        <v>920.97458045964856</v>
      </c>
      <c r="AE196" s="271">
        <f>'Output - Jobs vs Yr (BAU)'!AE69</f>
        <v>932.10502971968549</v>
      </c>
      <c r="AF196" s="271">
        <f>'Output - Jobs vs Yr (BAU)'!AF69</f>
        <v>943.45304616899432</v>
      </c>
      <c r="AG196" s="271">
        <f>'Output - Jobs vs Yr (BAU)'!AG69</f>
        <v>956.33514165316319</v>
      </c>
      <c r="AH196" s="184">
        <f>'Output - Jobs vs Yr (BAU)'!AH69</f>
        <v>967.43459830016582</v>
      </c>
    </row>
    <row r="197" spans="1:34">
      <c r="A197" t="s">
        <v>391</v>
      </c>
      <c r="C197" s="331">
        <f>SUM(C198:C199)</f>
        <v>3770.9651500000004</v>
      </c>
      <c r="D197" s="331">
        <f t="shared" ref="D197:AH197" si="113">SUM(D198:D199)</f>
        <v>4134.6631500000003</v>
      </c>
      <c r="E197" s="331">
        <f t="shared" si="113"/>
        <v>3825.487193717322</v>
      </c>
      <c r="F197" s="331">
        <f t="shared" si="113"/>
        <v>3500.3289859790475</v>
      </c>
      <c r="G197" s="331">
        <f t="shared" si="113"/>
        <v>3246.499737290128</v>
      </c>
      <c r="H197" s="402">
        <f t="shared" si="113"/>
        <v>3253.5566299610091</v>
      </c>
      <c r="I197" s="14">
        <f t="shared" si="113"/>
        <v>3350.0382903006312</v>
      </c>
      <c r="J197" s="14">
        <f t="shared" si="113"/>
        <v>2982.8893833898169</v>
      </c>
      <c r="K197" s="14">
        <f t="shared" si="113"/>
        <v>3230.5755515061355</v>
      </c>
      <c r="L197" s="14">
        <f t="shared" si="113"/>
        <v>2338.7570236277252</v>
      </c>
      <c r="M197" s="14">
        <f t="shared" si="113"/>
        <v>2338.7570236277252</v>
      </c>
      <c r="N197" s="187">
        <f t="shared" si="113"/>
        <v>1447.1974820277248</v>
      </c>
      <c r="O197" s="14">
        <f t="shared" si="113"/>
        <v>1447.1974820277248</v>
      </c>
      <c r="P197" s="14">
        <f t="shared" si="113"/>
        <v>1447.1974820277248</v>
      </c>
      <c r="Q197" s="14">
        <f t="shared" si="113"/>
        <v>1447.1974820277248</v>
      </c>
      <c r="R197" s="14">
        <f t="shared" si="113"/>
        <v>1447.1974820277248</v>
      </c>
      <c r="S197" s="15">
        <f t="shared" si="113"/>
        <v>1447.1974820277248</v>
      </c>
      <c r="T197" s="14">
        <f t="shared" si="113"/>
        <v>1447.1974820277248</v>
      </c>
      <c r="U197" s="14">
        <f t="shared" si="113"/>
        <v>1478.4228603099241</v>
      </c>
      <c r="V197" s="14">
        <f t="shared" si="113"/>
        <v>1478.4228603099241</v>
      </c>
      <c r="W197" s="14">
        <f t="shared" si="113"/>
        <v>1478.4228603099241</v>
      </c>
      <c r="X197" s="187">
        <f t="shared" si="113"/>
        <v>1481.8292303973799</v>
      </c>
      <c r="Y197" s="158">
        <f t="shared" si="113"/>
        <v>1481.8292303973799</v>
      </c>
      <c r="Z197" s="158">
        <f t="shared" si="113"/>
        <v>1485.5658919492778</v>
      </c>
      <c r="AA197" s="158">
        <f t="shared" si="113"/>
        <v>1485.5658919492778</v>
      </c>
      <c r="AB197" s="158">
        <f t="shared" si="113"/>
        <v>1485.5658919492778</v>
      </c>
      <c r="AC197" s="158">
        <f t="shared" si="113"/>
        <v>1485.5658919492778</v>
      </c>
      <c r="AD197" s="158">
        <f t="shared" si="113"/>
        <v>1485.5658919492778</v>
      </c>
      <c r="AE197" s="158">
        <f t="shared" si="113"/>
        <v>1485.5658919492778</v>
      </c>
      <c r="AF197" s="158">
        <f t="shared" si="113"/>
        <v>1485.5658919492778</v>
      </c>
      <c r="AG197" s="158">
        <f t="shared" si="113"/>
        <v>1485.5658919492778</v>
      </c>
      <c r="AH197" s="187">
        <f t="shared" si="113"/>
        <v>1485.5658919492778</v>
      </c>
    </row>
    <row r="198" spans="1:34">
      <c r="A198" t="s">
        <v>393</v>
      </c>
      <c r="C198" s="330">
        <f>SUM('Output - Jobs vs Yr (BAU)'!C40:C43)</f>
        <v>1984.7185000000002</v>
      </c>
      <c r="D198" s="330">
        <f>SUM('Output - Jobs vs Yr (BAU)'!D40:D43)</f>
        <v>2176.1385</v>
      </c>
      <c r="E198" s="330">
        <f>SUM('Output - Jobs vs Yr (BAU)'!E40:E43)</f>
        <v>2013.4143124828011</v>
      </c>
      <c r="F198" s="330">
        <f>SUM('Output - Jobs vs Yr (BAU)'!F40:F43)</f>
        <v>1842.278413673183</v>
      </c>
      <c r="G198" s="330">
        <f>SUM('Output - Jobs vs Yr (BAU)'!G40:G43)</f>
        <v>1708.684072257962</v>
      </c>
      <c r="H198" s="286">
        <f>SUM('Output - Jobs vs Yr (BAU)'!H40:H43)</f>
        <v>1712.3982262952679</v>
      </c>
      <c r="I198" s="118">
        <f>SUM('Output - Jobs vs Yr (BAU)'!I40:I43)</f>
        <v>1763.1780475266478</v>
      </c>
      <c r="J198" s="118">
        <f>SUM('Output - Jobs vs Yr (BAU)'!J40:J43)</f>
        <v>1569.9417807314826</v>
      </c>
      <c r="K198" s="118">
        <f>SUM('Output - Jobs vs Yr (BAU)'!K40:K43)</f>
        <v>1700.3029218453344</v>
      </c>
      <c r="L198" s="118">
        <f>SUM('Output - Jobs vs Yr (BAU)'!L40:L43)</f>
        <v>1230.9247492777499</v>
      </c>
      <c r="M198" s="118">
        <f>SUM('Output - Jobs vs Yr (BAU)'!M40:M43)</f>
        <v>1230.9247492777499</v>
      </c>
      <c r="N198" s="177">
        <f>SUM('Output - Jobs vs Yr (BAU)'!N40:N43)</f>
        <v>761.68288527774985</v>
      </c>
      <c r="O198" s="118">
        <f>SUM('Output - Jobs vs Yr (BAU)'!O40:O43)</f>
        <v>761.68288527774985</v>
      </c>
      <c r="P198" s="118">
        <f>SUM('Output - Jobs vs Yr (BAU)'!P40:P43)</f>
        <v>761.68288527774985</v>
      </c>
      <c r="Q198" s="118">
        <f>SUM('Output - Jobs vs Yr (BAU)'!Q40:Q43)</f>
        <v>761.68288527774985</v>
      </c>
      <c r="R198" s="118">
        <f>SUM('Output - Jobs vs Yr (BAU)'!R40:R43)</f>
        <v>761.68288527774985</v>
      </c>
      <c r="S198" s="118">
        <f>SUM('Output - Jobs vs Yr (BAU)'!S40:S43)</f>
        <v>761.68288527774985</v>
      </c>
      <c r="T198" s="118">
        <f>SUM('Output - Jobs vs Yr (BAU)'!T40:T43)</f>
        <v>761.68288527774985</v>
      </c>
      <c r="U198" s="118">
        <f>SUM('Output - Jobs vs Yr (BAU)'!U40:U43)</f>
        <v>778.11729489996003</v>
      </c>
      <c r="V198" s="118">
        <f>SUM('Output - Jobs vs Yr (BAU)'!V40:V43)</f>
        <v>778.11729489996003</v>
      </c>
      <c r="W198" s="118">
        <f>SUM('Output - Jobs vs Yr (BAU)'!W40:W43)</f>
        <v>778.11729489996003</v>
      </c>
      <c r="X198" s="184">
        <f>SUM('Output - Jobs vs Yr (BAU)'!X40:X43)</f>
        <v>779.91012126177884</v>
      </c>
      <c r="Y198" s="271">
        <f>SUM('Output - Jobs vs Yr (BAU)'!Y40:Y43)</f>
        <v>779.91012126177884</v>
      </c>
      <c r="Z198" s="271">
        <f>SUM('Output - Jobs vs Yr (BAU)'!Z40:Z43)</f>
        <v>781.87678523646196</v>
      </c>
      <c r="AA198" s="271">
        <f>SUM('Output - Jobs vs Yr (BAU)'!AA40:AA43)</f>
        <v>781.87678523646196</v>
      </c>
      <c r="AB198" s="271">
        <f>SUM('Output - Jobs vs Yr (BAU)'!AB40:AB43)</f>
        <v>781.87678523646196</v>
      </c>
      <c r="AC198" s="271">
        <f>SUM('Output - Jobs vs Yr (BAU)'!AC40:AC43)</f>
        <v>781.87678523646196</v>
      </c>
      <c r="AD198" s="271">
        <f>SUM('Output - Jobs vs Yr (BAU)'!AD40:AD43)</f>
        <v>781.87678523646196</v>
      </c>
      <c r="AE198" s="271">
        <f>SUM('Output - Jobs vs Yr (BAU)'!AE40:AE43)</f>
        <v>781.87678523646196</v>
      </c>
      <c r="AF198" s="271">
        <f>SUM('Output - Jobs vs Yr (BAU)'!AF40:AF43)</f>
        <v>781.87678523646196</v>
      </c>
      <c r="AG198" s="271">
        <f>SUM('Output - Jobs vs Yr (BAU)'!AG40:AG43)</f>
        <v>781.87678523646196</v>
      </c>
      <c r="AH198" s="184">
        <f>SUM('Output - Jobs vs Yr (BAU)'!AH40:AH43)</f>
        <v>781.87678523646196</v>
      </c>
    </row>
    <row r="199" spans="1:34">
      <c r="A199" t="s">
        <v>392</v>
      </c>
      <c r="C199" s="330">
        <f>SUM('Output - Jobs vs Yr (BAU)'!C58:C61)</f>
        <v>1786.2466500000003</v>
      </c>
      <c r="D199" s="330">
        <f>SUM('Output - Jobs vs Yr (BAU)'!D58:D61)</f>
        <v>1958.5246500000001</v>
      </c>
      <c r="E199" s="330">
        <f>SUM('Output - Jobs vs Yr (BAU)'!E58:E61)</f>
        <v>1812.072881234521</v>
      </c>
      <c r="F199" s="330">
        <f>SUM('Output - Jobs vs Yr (BAU)'!F58:F61)</f>
        <v>1658.0505723058645</v>
      </c>
      <c r="G199" s="330">
        <f>SUM('Output - Jobs vs Yr (BAU)'!G58:G61)</f>
        <v>1537.8156650321657</v>
      </c>
      <c r="H199" s="286">
        <f>SUM('Output - Jobs vs Yr (BAU)'!H58:H61)</f>
        <v>1541.1584036657412</v>
      </c>
      <c r="I199" s="118">
        <f>SUM('Output - Jobs vs Yr (BAU)'!I58:I61)</f>
        <v>1586.8602427739831</v>
      </c>
      <c r="J199" s="118">
        <f>SUM('Output - Jobs vs Yr (BAU)'!J58:J61)</f>
        <v>1412.9476026583343</v>
      </c>
      <c r="K199" s="118">
        <f>SUM('Output - Jobs vs Yr (BAU)'!K58:K61)</f>
        <v>1530.2726296608009</v>
      </c>
      <c r="L199" s="118">
        <f>SUM('Output - Jobs vs Yr (BAU)'!L58:L61)</f>
        <v>1107.832274349975</v>
      </c>
      <c r="M199" s="118">
        <f>SUM('Output - Jobs vs Yr (BAU)'!M58:M61)</f>
        <v>1107.832274349975</v>
      </c>
      <c r="N199" s="177">
        <f>SUM('Output - Jobs vs Yr (BAU)'!N58:N61)</f>
        <v>685.514596749975</v>
      </c>
      <c r="O199" s="118">
        <f>SUM('Output - Jobs vs Yr (BAU)'!O58:O61)</f>
        <v>685.514596749975</v>
      </c>
      <c r="P199" s="118">
        <f>SUM('Output - Jobs vs Yr (BAU)'!P58:P61)</f>
        <v>685.514596749975</v>
      </c>
      <c r="Q199" s="118">
        <f>SUM('Output - Jobs vs Yr (BAU)'!Q58:Q61)</f>
        <v>685.514596749975</v>
      </c>
      <c r="R199" s="118">
        <f>SUM('Output - Jobs vs Yr (BAU)'!R58:R61)</f>
        <v>685.514596749975</v>
      </c>
      <c r="S199" s="118">
        <f>SUM('Output - Jobs vs Yr (BAU)'!S58:S61)</f>
        <v>685.514596749975</v>
      </c>
      <c r="T199" s="118">
        <f>SUM('Output - Jobs vs Yr (BAU)'!T58:T61)</f>
        <v>685.514596749975</v>
      </c>
      <c r="U199" s="118">
        <f>SUM('Output - Jobs vs Yr (BAU)'!U58:U61)</f>
        <v>700.30556540996406</v>
      </c>
      <c r="V199" s="118">
        <f>SUM('Output - Jobs vs Yr (BAU)'!V58:V61)</f>
        <v>700.30556540996406</v>
      </c>
      <c r="W199" s="118">
        <f>SUM('Output - Jobs vs Yr (BAU)'!W58:W61)</f>
        <v>700.30556540996406</v>
      </c>
      <c r="X199" s="184">
        <f>SUM('Output - Jobs vs Yr (BAU)'!X58:X61)</f>
        <v>701.91910913560093</v>
      </c>
      <c r="Y199" s="271">
        <f>SUM('Output - Jobs vs Yr (BAU)'!Y58:Y61)</f>
        <v>701.91910913560093</v>
      </c>
      <c r="Z199" s="271">
        <f>SUM('Output - Jobs vs Yr (BAU)'!Z58:Z61)</f>
        <v>703.68910671281583</v>
      </c>
      <c r="AA199" s="271">
        <f>SUM('Output - Jobs vs Yr (BAU)'!AA58:AA61)</f>
        <v>703.68910671281583</v>
      </c>
      <c r="AB199" s="271">
        <f>SUM('Output - Jobs vs Yr (BAU)'!AB58:AB61)</f>
        <v>703.68910671281583</v>
      </c>
      <c r="AC199" s="271">
        <f>SUM('Output - Jobs vs Yr (BAU)'!AC58:AC61)</f>
        <v>703.68910671281583</v>
      </c>
      <c r="AD199" s="271">
        <f>SUM('Output - Jobs vs Yr (BAU)'!AD58:AD61)</f>
        <v>703.68910671281583</v>
      </c>
      <c r="AE199" s="271">
        <f>SUM('Output - Jobs vs Yr (BAU)'!AE58:AE61)</f>
        <v>703.68910671281583</v>
      </c>
      <c r="AF199" s="271">
        <f>SUM('Output - Jobs vs Yr (BAU)'!AF58:AF61)</f>
        <v>703.68910671281583</v>
      </c>
      <c r="AG199" s="271">
        <f>SUM('Output - Jobs vs Yr (BAU)'!AG58:AG61)</f>
        <v>703.68910671281583</v>
      </c>
      <c r="AH199" s="184">
        <f>SUM('Output - Jobs vs Yr (BAU)'!AH58:AH61)</f>
        <v>703.68910671281583</v>
      </c>
    </row>
    <row r="200" spans="1:34">
      <c r="A200" t="s">
        <v>394</v>
      </c>
      <c r="C200" s="331">
        <f>SUM(C201:C202)</f>
        <v>8937.6759999999995</v>
      </c>
      <c r="D200" s="331">
        <f t="shared" ref="D200:AH200" si="114">SUM(D201:D202)</f>
        <v>9544.1939999999995</v>
      </c>
      <c r="E200" s="331">
        <f t="shared" si="114"/>
        <v>9494.8239669801915</v>
      </c>
      <c r="F200" s="331">
        <f t="shared" si="114"/>
        <v>9451.324494623288</v>
      </c>
      <c r="G200" s="331">
        <f t="shared" si="114"/>
        <v>8910.4642652214534</v>
      </c>
      <c r="H200" s="402">
        <f t="shared" si="114"/>
        <v>9071.5018644353841</v>
      </c>
      <c r="I200" s="14">
        <f t="shared" si="114"/>
        <v>9266.110044857418</v>
      </c>
      <c r="J200" s="14">
        <f t="shared" si="114"/>
        <v>9563.4568174074229</v>
      </c>
      <c r="K200" s="14">
        <f t="shared" si="114"/>
        <v>9625.729733234075</v>
      </c>
      <c r="L200" s="14">
        <f t="shared" si="114"/>
        <v>10104.457382506151</v>
      </c>
      <c r="M200" s="14">
        <f t="shared" si="114"/>
        <v>10334.834138638889</v>
      </c>
      <c r="N200" s="187">
        <f t="shared" si="114"/>
        <v>10757.147864958693</v>
      </c>
      <c r="O200" s="14">
        <f t="shared" si="114"/>
        <v>10891.64049483051</v>
      </c>
      <c r="P200" s="14">
        <f t="shared" si="114"/>
        <v>10956.549784824789</v>
      </c>
      <c r="Q200" s="14">
        <f t="shared" si="114"/>
        <v>11177.053891741938</v>
      </c>
      <c r="R200" s="14">
        <f t="shared" si="114"/>
        <v>11287.699844132068</v>
      </c>
      <c r="S200" s="15">
        <f t="shared" si="114"/>
        <v>11343.33332051003</v>
      </c>
      <c r="T200" s="14">
        <f t="shared" si="114"/>
        <v>11517.529803043926</v>
      </c>
      <c r="U200" s="14">
        <f t="shared" si="114"/>
        <v>11656.035139477679</v>
      </c>
      <c r="V200" s="14">
        <f t="shared" si="114"/>
        <v>11701.647102515331</v>
      </c>
      <c r="W200" s="14">
        <f t="shared" si="114"/>
        <v>11845.805831286072</v>
      </c>
      <c r="X200" s="187">
        <f t="shared" si="114"/>
        <v>11956.644402344875</v>
      </c>
      <c r="Y200" s="158">
        <f t="shared" si="114"/>
        <v>11996.998253547699</v>
      </c>
      <c r="Z200" s="158">
        <f t="shared" si="114"/>
        <v>12033.311819670846</v>
      </c>
      <c r="AA200" s="158">
        <f t="shared" si="114"/>
        <v>12061.598024816469</v>
      </c>
      <c r="AB200" s="158">
        <f t="shared" si="114"/>
        <v>11974.375785737699</v>
      </c>
      <c r="AC200" s="158">
        <f t="shared" si="114"/>
        <v>12041.62862052986</v>
      </c>
      <c r="AD200" s="158">
        <f t="shared" si="114"/>
        <v>12013.430496363559</v>
      </c>
      <c r="AE200" s="158">
        <f t="shared" si="114"/>
        <v>12019.437125593471</v>
      </c>
      <c r="AF200" s="158">
        <f t="shared" si="114"/>
        <v>12062.036679685261</v>
      </c>
      <c r="AG200" s="158">
        <f t="shared" si="114"/>
        <v>12262.210214344894</v>
      </c>
      <c r="AH200" s="187">
        <f t="shared" si="114"/>
        <v>12385.981198168942</v>
      </c>
    </row>
    <row r="201" spans="1:34">
      <c r="A201" t="s">
        <v>395</v>
      </c>
      <c r="C201" s="330">
        <f>SUM('Output - Jobs vs Yr (BAU)'!C53:C54)</f>
        <v>4704.04</v>
      </c>
      <c r="D201" s="330">
        <f>SUM('Output - Jobs vs Yr (BAU)'!D53:D54)</f>
        <v>5023.26</v>
      </c>
      <c r="E201" s="330">
        <f>SUM('Output - Jobs vs Yr (BAU)'!E53:E54)</f>
        <v>4997.2757720948384</v>
      </c>
      <c r="F201" s="330">
        <f>SUM('Output - Jobs vs Yr (BAU)'!F53:F54)</f>
        <v>4974.3813129596256</v>
      </c>
      <c r="G201" s="330">
        <f>SUM('Output - Jobs vs Yr (BAU)'!G53:G54)</f>
        <v>4689.7180343270802</v>
      </c>
      <c r="H201" s="286">
        <f>SUM('Output - Jobs vs Yr (BAU)'!H53:H54)</f>
        <v>4774.4746654923074</v>
      </c>
      <c r="I201" s="118">
        <f>SUM('Output - Jobs vs Yr (BAU)'!I53:I54)</f>
        <v>4876.9000236091679</v>
      </c>
      <c r="J201" s="118">
        <f>SUM('Output - Jobs vs Yr (BAU)'!J53:J54)</f>
        <v>5033.3983249512758</v>
      </c>
      <c r="K201" s="118">
        <f>SUM('Output - Jobs vs Yr (BAU)'!K53:K54)</f>
        <v>5066.1735438074074</v>
      </c>
      <c r="L201" s="118">
        <f>SUM('Output - Jobs vs Yr (BAU)'!L53:L54)</f>
        <v>5318.1354644769217</v>
      </c>
      <c r="M201" s="118">
        <f>SUM('Output - Jobs vs Yr (BAU)'!M53:M54)</f>
        <v>5439.3863887573098</v>
      </c>
      <c r="N201" s="177">
        <f>SUM('Output - Jobs vs Yr (BAU)'!N53:N54)</f>
        <v>5661.6567710308909</v>
      </c>
      <c r="O201" s="118">
        <f>SUM('Output - Jobs vs Yr (BAU)'!O53:O54)</f>
        <v>5732.4423657002681</v>
      </c>
      <c r="P201" s="118">
        <f>SUM('Output - Jobs vs Yr (BAU)'!P53:P54)</f>
        <v>5766.6051499077839</v>
      </c>
      <c r="Q201" s="118">
        <f>SUM('Output - Jobs vs Yr (BAU)'!Q53:Q54)</f>
        <v>5882.6599430220722</v>
      </c>
      <c r="R201" s="118">
        <f>SUM('Output - Jobs vs Yr (BAU)'!R53:R54)</f>
        <v>5940.8946548063523</v>
      </c>
      <c r="S201" s="118">
        <f>SUM('Output - Jobs vs Yr (BAU)'!S53:S54)</f>
        <v>5970.1754318473841</v>
      </c>
      <c r="T201" s="118">
        <f>SUM('Output - Jobs vs Yr (BAU)'!T53:T54)</f>
        <v>6061.8577910757504</v>
      </c>
      <c r="U201" s="118">
        <f>SUM('Output - Jobs vs Yr (BAU)'!U53:U54)</f>
        <v>6134.7553365671993</v>
      </c>
      <c r="V201" s="118">
        <f>SUM('Output - Jobs vs Yr (BAU)'!V53:V54)</f>
        <v>6158.761632902806</v>
      </c>
      <c r="W201" s="118">
        <f>SUM('Output - Jobs vs Yr (BAU)'!W53:W54)</f>
        <v>6234.6346480453012</v>
      </c>
      <c r="X201" s="184">
        <f>SUM('Output - Jobs vs Yr (BAU)'!X53:X54)</f>
        <v>6292.9707380762502</v>
      </c>
      <c r="Y201" s="271">
        <f>SUM('Output - Jobs vs Yr (BAU)'!Y53:Y54)</f>
        <v>6314.2096071303677</v>
      </c>
      <c r="Z201" s="271">
        <f>SUM('Output - Jobs vs Yr (BAU)'!Z53:Z54)</f>
        <v>6333.3220103530766</v>
      </c>
      <c r="AA201" s="271">
        <f>SUM('Output - Jobs vs Yr (BAU)'!AA53:AA54)</f>
        <v>6348.2094867455098</v>
      </c>
      <c r="AB201" s="271">
        <f>SUM('Output - Jobs vs Yr (BAU)'!AB53:AB54)</f>
        <v>6302.3030451251043</v>
      </c>
      <c r="AC201" s="271">
        <f>SUM('Output - Jobs vs Yr (BAU)'!AC53:AC54)</f>
        <v>6337.699273963085</v>
      </c>
      <c r="AD201" s="271">
        <f>SUM('Output - Jobs vs Yr (BAU)'!AD53:AD54)</f>
        <v>6322.8581559808208</v>
      </c>
      <c r="AE201" s="271">
        <f>SUM('Output - Jobs vs Yr (BAU)'!AE53:AE54)</f>
        <v>6326.0195397860371</v>
      </c>
      <c r="AF201" s="271">
        <f>SUM('Output - Jobs vs Yr (BAU)'!AF53:AF54)</f>
        <v>6348.440357729085</v>
      </c>
      <c r="AG201" s="271">
        <f>SUM('Output - Jobs vs Yr (BAU)'!AG53:AG54)</f>
        <v>6453.7948496552071</v>
      </c>
      <c r="AH201" s="184">
        <f>SUM('Output - Jobs vs Yr (BAU)'!AH53:AH54)</f>
        <v>6518.9374727204959</v>
      </c>
    </row>
    <row r="202" spans="1:34">
      <c r="A202" t="s">
        <v>396</v>
      </c>
      <c r="C202" s="330">
        <f>SUM('Output - Jobs vs Yr (BAU)'!C71:C72)</f>
        <v>4233.6360000000004</v>
      </c>
      <c r="D202" s="330">
        <f>SUM('Output - Jobs vs Yr (BAU)'!D71:D72)</f>
        <v>4520.9340000000002</v>
      </c>
      <c r="E202" s="330">
        <f>SUM('Output - Jobs vs Yr (BAU)'!E71:E72)</f>
        <v>4497.548194885354</v>
      </c>
      <c r="F202" s="330">
        <f>SUM('Output - Jobs vs Yr (BAU)'!F71:F72)</f>
        <v>4476.9431816636634</v>
      </c>
      <c r="G202" s="330">
        <f>SUM('Output - Jobs vs Yr (BAU)'!G71:G72)</f>
        <v>4220.7462308943723</v>
      </c>
      <c r="H202" s="286">
        <f>SUM('Output - Jobs vs Yr (BAU)'!H71:H72)</f>
        <v>4297.0271989430767</v>
      </c>
      <c r="I202" s="118">
        <f>SUM('Output - Jobs vs Yr (BAU)'!I71:I72)</f>
        <v>4389.210021248251</v>
      </c>
      <c r="J202" s="118">
        <f>SUM('Output - Jobs vs Yr (BAU)'!J71:J72)</f>
        <v>4530.0584924561481</v>
      </c>
      <c r="K202" s="118">
        <f>SUM('Output - Jobs vs Yr (BAU)'!K71:K72)</f>
        <v>4559.5561894266666</v>
      </c>
      <c r="L202" s="118">
        <f>SUM('Output - Jobs vs Yr (BAU)'!L71:L72)</f>
        <v>4786.321918029229</v>
      </c>
      <c r="M202" s="118">
        <f>SUM('Output - Jobs vs Yr (BAU)'!M71:M72)</f>
        <v>4895.4477498815795</v>
      </c>
      <c r="N202" s="177">
        <f>SUM('Output - Jobs vs Yr (BAU)'!N71:N72)</f>
        <v>5095.4910939278016</v>
      </c>
      <c r="O202" s="118">
        <f>SUM('Output - Jobs vs Yr (BAU)'!O71:O72)</f>
        <v>5159.1981291302409</v>
      </c>
      <c r="P202" s="118">
        <f>SUM('Output - Jobs vs Yr (BAU)'!P71:P72)</f>
        <v>5189.9446349170048</v>
      </c>
      <c r="Q202" s="118">
        <f>SUM('Output - Jobs vs Yr (BAU)'!Q71:Q72)</f>
        <v>5294.3939487198659</v>
      </c>
      <c r="R202" s="118">
        <f>SUM('Output - Jobs vs Yr (BAU)'!R71:R72)</f>
        <v>5346.805189325717</v>
      </c>
      <c r="S202" s="118">
        <f>SUM('Output - Jobs vs Yr (BAU)'!S71:S72)</f>
        <v>5373.1578886626457</v>
      </c>
      <c r="T202" s="118">
        <f>SUM('Output - Jobs vs Yr (BAU)'!T71:T72)</f>
        <v>5455.6720119681759</v>
      </c>
      <c r="U202" s="118">
        <f>SUM('Output - Jobs vs Yr (BAU)'!U71:U72)</f>
        <v>5521.2798029104797</v>
      </c>
      <c r="V202" s="118">
        <f>SUM('Output - Jobs vs Yr (BAU)'!V71:V72)</f>
        <v>5542.8854696125254</v>
      </c>
      <c r="W202" s="118">
        <f>SUM('Output - Jobs vs Yr (BAU)'!W71:W72)</f>
        <v>5611.1711832407709</v>
      </c>
      <c r="X202" s="184">
        <f>SUM('Output - Jobs vs Yr (BAU)'!X71:X72)</f>
        <v>5663.6736642686246</v>
      </c>
      <c r="Y202" s="271">
        <f>SUM('Output - Jobs vs Yr (BAU)'!Y71:Y72)</f>
        <v>5682.7886464173307</v>
      </c>
      <c r="Z202" s="271">
        <f>SUM('Output - Jobs vs Yr (BAU)'!Z71:Z72)</f>
        <v>5699.989809317769</v>
      </c>
      <c r="AA202" s="271">
        <f>SUM('Output - Jobs vs Yr (BAU)'!AA71:AA72)</f>
        <v>5713.3885380709589</v>
      </c>
      <c r="AB202" s="271">
        <f>SUM('Output - Jobs vs Yr (BAU)'!AB71:AB72)</f>
        <v>5672.0727406125943</v>
      </c>
      <c r="AC202" s="271">
        <f>SUM('Output - Jobs vs Yr (BAU)'!AC71:AC72)</f>
        <v>5703.9293465667761</v>
      </c>
      <c r="AD202" s="271">
        <f>SUM('Output - Jobs vs Yr (BAU)'!AD71:AD72)</f>
        <v>5690.5723403827387</v>
      </c>
      <c r="AE202" s="271">
        <f>SUM('Output - Jobs vs Yr (BAU)'!AE71:AE72)</f>
        <v>5693.4175858074341</v>
      </c>
      <c r="AF202" s="271">
        <f>SUM('Output - Jobs vs Yr (BAU)'!AF71:AF72)</f>
        <v>5713.5963219561763</v>
      </c>
      <c r="AG202" s="271">
        <f>SUM('Output - Jobs vs Yr (BAU)'!AG71:AG72)</f>
        <v>5808.4153646896866</v>
      </c>
      <c r="AH202" s="184">
        <f>SUM('Output - Jobs vs Yr (BAU)'!AH71:AH72)</f>
        <v>5867.0437254484468</v>
      </c>
    </row>
    <row r="203" spans="1:34">
      <c r="A203" s="1" t="s">
        <v>425</v>
      </c>
      <c r="C203" s="331">
        <f>SUM(C191,C194,C197,C200)</f>
        <v>13494.638279999999</v>
      </c>
      <c r="D203" s="331">
        <f t="shared" ref="D203:AH203" si="115">SUM(D191,D194,D197,D200)</f>
        <v>14514.558280000001</v>
      </c>
      <c r="E203" s="331">
        <f t="shared" si="115"/>
        <v>14370.549367960117</v>
      </c>
      <c r="F203" s="331">
        <f t="shared" si="115"/>
        <v>14129.799192809956</v>
      </c>
      <c r="G203" s="331">
        <f t="shared" si="115"/>
        <v>13237.53728052135</v>
      </c>
      <c r="H203" s="402">
        <f t="shared" si="115"/>
        <v>13493.878138443228</v>
      </c>
      <c r="I203" s="14">
        <f t="shared" si="115"/>
        <v>13880.302502592091</v>
      </c>
      <c r="J203" s="14">
        <f t="shared" si="115"/>
        <v>13904.89828872828</v>
      </c>
      <c r="K203" s="14">
        <f t="shared" si="115"/>
        <v>14234.514243685602</v>
      </c>
      <c r="L203" s="14">
        <f t="shared" si="115"/>
        <v>13868.811078990215</v>
      </c>
      <c r="M203" s="132">
        <f t="shared" si="115"/>
        <v>14130.004340628378</v>
      </c>
      <c r="N203" s="193">
        <f t="shared" si="115"/>
        <v>13709.218765067264</v>
      </c>
      <c r="O203" s="14">
        <f t="shared" si="115"/>
        <v>13875.204629419753</v>
      </c>
      <c r="P203" s="14">
        <f t="shared" si="115"/>
        <v>13982.973208750458</v>
      </c>
      <c r="Q203" s="14">
        <f t="shared" si="115"/>
        <v>14228.253998828424</v>
      </c>
      <c r="R203" s="14">
        <f t="shared" si="115"/>
        <v>14391.141453782333</v>
      </c>
      <c r="S203" s="14">
        <f t="shared" si="115"/>
        <v>14472.557386834789</v>
      </c>
      <c r="T203" s="14">
        <f t="shared" si="115"/>
        <v>14671.451391633245</v>
      </c>
      <c r="U203" s="14">
        <f t="shared" si="115"/>
        <v>14865.558710464846</v>
      </c>
      <c r="V203" s="14">
        <f t="shared" si="115"/>
        <v>14930.676656105905</v>
      </c>
      <c r="W203" s="14">
        <f t="shared" si="115"/>
        <v>15096.810040216798</v>
      </c>
      <c r="X203" s="187">
        <f t="shared" si="115"/>
        <v>15237.768248503187</v>
      </c>
      <c r="Y203" s="158">
        <f t="shared" si="115"/>
        <v>15298.747470836783</v>
      </c>
      <c r="Z203" s="158">
        <f t="shared" si="115"/>
        <v>15358.384535775414</v>
      </c>
      <c r="AA203" s="158">
        <f t="shared" si="115"/>
        <v>15412.848448473786</v>
      </c>
      <c r="AB203" s="158">
        <f t="shared" si="115"/>
        <v>15353.111992077203</v>
      </c>
      <c r="AC203" s="158">
        <f t="shared" si="115"/>
        <v>15445.519996228388</v>
      </c>
      <c r="AD203" s="158">
        <f t="shared" si="115"/>
        <v>15443.276058172094</v>
      </c>
      <c r="AE203" s="158">
        <f t="shared" si="115"/>
        <v>15472.78030250653</v>
      </c>
      <c r="AF203" s="158">
        <f t="shared" si="115"/>
        <v>15539.336780213527</v>
      </c>
      <c r="AG203" s="158">
        <f t="shared" si="115"/>
        <v>15766.705849784183</v>
      </c>
      <c r="AH203" s="187">
        <f t="shared" si="115"/>
        <v>15913.909019863015</v>
      </c>
    </row>
    <row r="204" spans="1:34">
      <c r="A204" s="1" t="s">
        <v>448</v>
      </c>
      <c r="C204" s="331"/>
      <c r="D204" s="331">
        <f>D194+D197</f>
        <v>4970.3642800000007</v>
      </c>
      <c r="E204" s="331">
        <f t="shared" ref="E204:AH204" si="116">E194+E197</f>
        <v>4875.7254009799244</v>
      </c>
      <c r="F204" s="331">
        <f t="shared" si="116"/>
        <v>4678.4746981866683</v>
      </c>
      <c r="G204" s="331">
        <f t="shared" si="116"/>
        <v>4327.0730152998967</v>
      </c>
      <c r="H204" s="402">
        <f t="shared" si="116"/>
        <v>4422.3762740078437</v>
      </c>
      <c r="I204" s="14">
        <f t="shared" si="116"/>
        <v>4614.1924577346726</v>
      </c>
      <c r="J204" s="14">
        <f t="shared" si="116"/>
        <v>4341.4414713208562</v>
      </c>
      <c r="K204" s="14">
        <f t="shared" si="116"/>
        <v>4608.7845104515272</v>
      </c>
      <c r="L204" s="14">
        <f t="shared" si="116"/>
        <v>3764.3536964840637</v>
      </c>
      <c r="M204" s="14">
        <f t="shared" si="116"/>
        <v>3795.1702019894892</v>
      </c>
      <c r="N204" s="187">
        <f t="shared" si="116"/>
        <v>2952.0709001085706</v>
      </c>
      <c r="O204" s="14">
        <f t="shared" si="116"/>
        <v>2983.5641345892436</v>
      </c>
      <c r="P204" s="14">
        <f t="shared" si="116"/>
        <v>3026.4234239256698</v>
      </c>
      <c r="Q204" s="14">
        <f t="shared" si="116"/>
        <v>3051.2001070864862</v>
      </c>
      <c r="R204" s="14">
        <f t="shared" si="116"/>
        <v>3103.4416096502637</v>
      </c>
      <c r="S204" s="14">
        <f t="shared" si="116"/>
        <v>3129.2240663247594</v>
      </c>
      <c r="T204" s="14">
        <f t="shared" si="116"/>
        <v>3153.9215885893191</v>
      </c>
      <c r="U204" s="14">
        <f t="shared" si="116"/>
        <v>3209.5235709871672</v>
      </c>
      <c r="V204" s="14">
        <f t="shared" si="116"/>
        <v>3229.029553590573</v>
      </c>
      <c r="W204" s="14">
        <f t="shared" si="116"/>
        <v>3251.0042089307271</v>
      </c>
      <c r="X204" s="187">
        <f t="shared" si="116"/>
        <v>3281.1238461583116</v>
      </c>
      <c r="Y204" s="158">
        <f t="shared" si="116"/>
        <v>3301.7492172890834</v>
      </c>
      <c r="Z204" s="158">
        <f t="shared" si="116"/>
        <v>3325.0727161045688</v>
      </c>
      <c r="AA204" s="158">
        <f t="shared" si="116"/>
        <v>3351.2504236573159</v>
      </c>
      <c r="AB204" s="158">
        <f t="shared" si="116"/>
        <v>3378.7362063395058</v>
      </c>
      <c r="AC204" s="158">
        <f t="shared" si="116"/>
        <v>3403.8913756985266</v>
      </c>
      <c r="AD204" s="158">
        <f t="shared" si="116"/>
        <v>3429.8455618085359</v>
      </c>
      <c r="AE204" s="158">
        <f t="shared" si="116"/>
        <v>3453.3431769130584</v>
      </c>
      <c r="AF204" s="158">
        <f t="shared" si="116"/>
        <v>3477.3001005282658</v>
      </c>
      <c r="AG204" s="158">
        <f t="shared" si="116"/>
        <v>3504.4956354392889</v>
      </c>
      <c r="AH204" s="187">
        <f t="shared" si="116"/>
        <v>3527.927821694072</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453</v>
      </c>
      <c r="C206" s="331"/>
      <c r="D206" s="331">
        <f>D194</f>
        <v>835.70113000000003</v>
      </c>
      <c r="E206" s="331">
        <f>D206+E194</f>
        <v>1885.9393372626027</v>
      </c>
      <c r="F206" s="331">
        <f>E206+F194</f>
        <v>3064.085049470224</v>
      </c>
      <c r="G206" s="331">
        <f>F206+G194</f>
        <v>4144.6583274799932</v>
      </c>
      <c r="H206" s="402">
        <f t="shared" ref="H206:X206" si="117">G206+H194</f>
        <v>5313.4779715268278</v>
      </c>
      <c r="I206" s="14">
        <f t="shared" si="117"/>
        <v>6577.6321389608693</v>
      </c>
      <c r="J206" s="14">
        <f t="shared" si="117"/>
        <v>7936.1842268919081</v>
      </c>
      <c r="K206" s="14">
        <f t="shared" si="117"/>
        <v>9314.3931858372998</v>
      </c>
      <c r="L206" s="14">
        <f t="shared" si="117"/>
        <v>10739.989858693638</v>
      </c>
      <c r="M206" s="14">
        <f t="shared" si="117"/>
        <v>12196.403037055401</v>
      </c>
      <c r="N206" s="187">
        <f t="shared" si="117"/>
        <v>13701.276455136247</v>
      </c>
      <c r="O206" s="14">
        <f t="shared" si="117"/>
        <v>15237.643107697766</v>
      </c>
      <c r="P206" s="14">
        <f t="shared" si="117"/>
        <v>16816.869049595713</v>
      </c>
      <c r="Q206" s="14">
        <f t="shared" si="117"/>
        <v>18420.871674654474</v>
      </c>
      <c r="R206" s="14">
        <f t="shared" si="117"/>
        <v>20077.115802277014</v>
      </c>
      <c r="S206" s="14">
        <f t="shared" si="117"/>
        <v>21759.142386574051</v>
      </c>
      <c r="T206" s="14">
        <f t="shared" si="117"/>
        <v>23465.866493135643</v>
      </c>
      <c r="U206" s="14">
        <f t="shared" si="117"/>
        <v>25196.967203812885</v>
      </c>
      <c r="V206" s="14">
        <f t="shared" si="117"/>
        <v>26947.573897093534</v>
      </c>
      <c r="W206" s="14">
        <f t="shared" si="117"/>
        <v>28720.155245714337</v>
      </c>
      <c r="X206" s="187">
        <f t="shared" si="117"/>
        <v>30519.44986147527</v>
      </c>
      <c r="Y206" s="158">
        <f t="shared" ref="Y206:AH206" si="118">X206+Y194</f>
        <v>32339.369848366972</v>
      </c>
      <c r="Z206" s="158">
        <f t="shared" si="118"/>
        <v>34178.876672522267</v>
      </c>
      <c r="AA206" s="158">
        <f t="shared" si="118"/>
        <v>36044.561204230304</v>
      </c>
      <c r="AB206" s="158">
        <f t="shared" si="118"/>
        <v>37937.731518620531</v>
      </c>
      <c r="AC206" s="158">
        <f t="shared" si="118"/>
        <v>39856.05700236978</v>
      </c>
      <c r="AD206" s="158">
        <f t="shared" si="118"/>
        <v>41800.336672229038</v>
      </c>
      <c r="AE206" s="158">
        <f t="shared" si="118"/>
        <v>43768.113957192822</v>
      </c>
      <c r="AF206" s="158">
        <f t="shared" si="118"/>
        <v>45759.848165771808</v>
      </c>
      <c r="AG206" s="158">
        <f t="shared" si="118"/>
        <v>47778.777909261822</v>
      </c>
      <c r="AH206" s="187">
        <f t="shared" si="118"/>
        <v>49821.139839006617</v>
      </c>
    </row>
    <row r="207" spans="1:34">
      <c r="A207" s="1" t="s">
        <v>456</v>
      </c>
      <c r="C207" s="331"/>
      <c r="D207" s="331">
        <f>D200</f>
        <v>9544.1939999999995</v>
      </c>
      <c r="E207" s="331">
        <f>D207+E200</f>
        <v>19039.017966980191</v>
      </c>
      <c r="F207" s="331">
        <f>E207+F200</f>
        <v>28490.342461603479</v>
      </c>
      <c r="G207" s="331">
        <f t="shared" ref="G207:X207" si="119">F207+G200</f>
        <v>37400.806726824929</v>
      </c>
      <c r="H207" s="402">
        <f t="shared" si="119"/>
        <v>46472.308591260313</v>
      </c>
      <c r="I207" s="14">
        <f t="shared" si="119"/>
        <v>55738.418636117727</v>
      </c>
      <c r="J207" s="14">
        <f t="shared" si="119"/>
        <v>65301.87545352515</v>
      </c>
      <c r="K207" s="14">
        <f t="shared" si="119"/>
        <v>74927.605186759232</v>
      </c>
      <c r="L207" s="14">
        <f t="shared" si="119"/>
        <v>85032.062569265385</v>
      </c>
      <c r="M207" s="14">
        <f t="shared" si="119"/>
        <v>95366.896707904278</v>
      </c>
      <c r="N207" s="187">
        <f t="shared" si="119"/>
        <v>106124.04457286297</v>
      </c>
      <c r="O207" s="14">
        <f t="shared" si="119"/>
        <v>117015.68506769348</v>
      </c>
      <c r="P207" s="14">
        <f t="shared" si="119"/>
        <v>127972.23485251828</v>
      </c>
      <c r="Q207" s="14">
        <f t="shared" si="119"/>
        <v>139149.28874426021</v>
      </c>
      <c r="R207" s="14">
        <f t="shared" si="119"/>
        <v>150436.98858839227</v>
      </c>
      <c r="S207" s="14">
        <f t="shared" si="119"/>
        <v>161780.32190890229</v>
      </c>
      <c r="T207" s="14">
        <f t="shared" si="119"/>
        <v>173297.85171194622</v>
      </c>
      <c r="U207" s="14">
        <f t="shared" si="119"/>
        <v>184953.88685142389</v>
      </c>
      <c r="V207" s="14">
        <f t="shared" si="119"/>
        <v>196655.53395393922</v>
      </c>
      <c r="W207" s="14">
        <f t="shared" si="119"/>
        <v>208501.33978522528</v>
      </c>
      <c r="X207" s="187">
        <f t="shared" si="119"/>
        <v>220457.98418757017</v>
      </c>
      <c r="Y207" s="158">
        <f t="shared" ref="Y207:AH207" si="120">X207+Y200</f>
        <v>232454.98244111787</v>
      </c>
      <c r="Z207" s="158">
        <f t="shared" si="120"/>
        <v>244488.29426078871</v>
      </c>
      <c r="AA207" s="158">
        <f t="shared" si="120"/>
        <v>256549.89228560516</v>
      </c>
      <c r="AB207" s="158">
        <f t="shared" si="120"/>
        <v>268524.26807134284</v>
      </c>
      <c r="AC207" s="158">
        <f t="shared" si="120"/>
        <v>280565.89669187268</v>
      </c>
      <c r="AD207" s="158">
        <f t="shared" si="120"/>
        <v>292579.32718823623</v>
      </c>
      <c r="AE207" s="158">
        <f t="shared" si="120"/>
        <v>304598.76431382971</v>
      </c>
      <c r="AF207" s="158">
        <f t="shared" si="120"/>
        <v>316660.80099351495</v>
      </c>
      <c r="AG207" s="158">
        <f t="shared" si="120"/>
        <v>328923.01120785985</v>
      </c>
      <c r="AH207" s="187">
        <f t="shared" si="120"/>
        <v>341308.99240602879</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412</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409</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41">
        <f>SUM(C214:C215)</f>
        <v>785.99685999999997</v>
      </c>
      <c r="D213" s="341">
        <f t="shared" ref="D213:AH213" si="124">SUM(D214:D215)</f>
        <v>955.96807879865094</v>
      </c>
      <c r="E213" s="341">
        <f t="shared" si="124"/>
        <v>1180.8672927255025</v>
      </c>
      <c r="F213" s="341">
        <f t="shared" si="124"/>
        <v>1307.920457090145</v>
      </c>
      <c r="G213" s="341">
        <f t="shared" si="124"/>
        <v>1324.5914214518834</v>
      </c>
      <c r="H213" s="405">
        <f t="shared" si="124"/>
        <v>1168.8193740468346</v>
      </c>
      <c r="I213" s="15">
        <f t="shared" si="124"/>
        <v>1376.3187736029176</v>
      </c>
      <c r="J213" s="15">
        <f t="shared" si="124"/>
        <v>1561.0819432170024</v>
      </c>
      <c r="K213" s="15">
        <f t="shared" si="124"/>
        <v>1813.4853959071145</v>
      </c>
      <c r="L213" s="15">
        <f t="shared" si="124"/>
        <v>2033.1154501527071</v>
      </c>
      <c r="M213" s="15">
        <f t="shared" si="124"/>
        <v>2358.9457255299876</v>
      </c>
      <c r="N213" s="190">
        <f t="shared" si="124"/>
        <v>2633.8563416634897</v>
      </c>
      <c r="O213" s="15">
        <f t="shared" si="124"/>
        <v>2686.3013263553348</v>
      </c>
      <c r="P213" s="15">
        <f t="shared" si="124"/>
        <v>2726.1204522597627</v>
      </c>
      <c r="Q213" s="15">
        <f t="shared" si="124"/>
        <v>2797.2185016511239</v>
      </c>
      <c r="R213" s="15">
        <f t="shared" si="124"/>
        <v>2849.038484944756</v>
      </c>
      <c r="S213" s="15">
        <f t="shared" si="124"/>
        <v>2886.7557420283065</v>
      </c>
      <c r="T213" s="15">
        <f t="shared" si="124"/>
        <v>2950.267746878551</v>
      </c>
      <c r="U213" s="15">
        <f t="shared" si="124"/>
        <v>3011.7792932130433</v>
      </c>
      <c r="V213" s="15">
        <f t="shared" si="124"/>
        <v>3048.1742107108244</v>
      </c>
      <c r="W213" s="15">
        <f t="shared" si="124"/>
        <v>3107.0323674588567</v>
      </c>
      <c r="X213" s="190">
        <f t="shared" si="124"/>
        <v>3160.3340337656373</v>
      </c>
      <c r="Y213" s="130">
        <f t="shared" si="124"/>
        <v>3217.421945547957</v>
      </c>
      <c r="Z213" s="130">
        <f t="shared" si="124"/>
        <v>3275.0742357971476</v>
      </c>
      <c r="AA213" s="130">
        <f t="shared" si="124"/>
        <v>3332.0247838595837</v>
      </c>
      <c r="AB213" s="130">
        <f t="shared" si="124"/>
        <v>3362.9016095316147</v>
      </c>
      <c r="AC213" s="130">
        <f t="shared" si="124"/>
        <v>3430.5938272008561</v>
      </c>
      <c r="AD213" s="130">
        <f t="shared" si="124"/>
        <v>3476.4787145516852</v>
      </c>
      <c r="AE213" s="130">
        <f t="shared" si="124"/>
        <v>3531.1012646294971</v>
      </c>
      <c r="AF213" s="130">
        <f t="shared" si="124"/>
        <v>3595.7591102289557</v>
      </c>
      <c r="AG213" s="130">
        <f t="shared" si="124"/>
        <v>3701.8439387668273</v>
      </c>
      <c r="AH213" s="190">
        <f t="shared" si="124"/>
        <v>3790.1354257473085</v>
      </c>
    </row>
    <row r="214" spans="1:34">
      <c r="A214" t="s">
        <v>398</v>
      </c>
      <c r="C214" s="331">
        <f>C115</f>
        <v>413.68269999999995</v>
      </c>
      <c r="D214" s="331">
        <f t="shared" ref="D214:AH214" si="125">D115</f>
        <v>503.14126042829014</v>
      </c>
      <c r="E214" s="331">
        <f t="shared" si="125"/>
        <v>621.50927960781587</v>
      </c>
      <c r="F214" s="331">
        <f t="shared" si="125"/>
        <v>688.37937850159392</v>
      </c>
      <c r="G214" s="331">
        <f t="shared" si="125"/>
        <v>697.15357513233255</v>
      </c>
      <c r="H214" s="402">
        <f t="shared" si="125"/>
        <v>615.16823370886027</v>
      </c>
      <c r="I214" s="14">
        <f t="shared" si="125"/>
        <v>724.37846112308489</v>
      </c>
      <c r="J214" s="14">
        <f t="shared" si="125"/>
        <v>821.62224993467294</v>
      </c>
      <c r="K214" s="14">
        <f t="shared" si="125"/>
        <v>954.46619227459246</v>
      </c>
      <c r="L214" s="14">
        <f t="shared" si="125"/>
        <v>1070.0609722086856</v>
      </c>
      <c r="M214" s="14">
        <f t="shared" si="125"/>
        <v>1241.550614271395</v>
      </c>
      <c r="N214" s="182">
        <f t="shared" si="125"/>
        <v>1386.2404285381044</v>
      </c>
      <c r="O214" s="14">
        <f t="shared" si="125"/>
        <v>1413.8430570125111</v>
      </c>
      <c r="P214" s="14">
        <f t="shared" si="125"/>
        <v>1434.8004954591747</v>
      </c>
      <c r="Q214" s="14">
        <f t="shared" si="125"/>
        <v>1472.2205281684212</v>
      </c>
      <c r="R214" s="14">
        <f t="shared" si="125"/>
        <v>1499.4942084794861</v>
      </c>
      <c r="S214" s="14">
        <f t="shared" si="125"/>
        <v>1519.3453999798398</v>
      </c>
      <c r="T214" s="14">
        <f t="shared" si="125"/>
        <v>1552.7727769510952</v>
      </c>
      <c r="U214" s="14">
        <f t="shared" si="125"/>
        <v>1585.14728083042</v>
      </c>
      <c r="V214" s="14">
        <f t="shared" si="125"/>
        <v>1604.3025040028683</v>
      </c>
      <c r="W214" s="14">
        <f t="shared" si="125"/>
        <v>1635.2804867966543</v>
      </c>
      <c r="X214" s="187">
        <f t="shared" si="125"/>
        <v>1663.3340004124502</v>
      </c>
      <c r="Y214" s="158">
        <f t="shared" si="125"/>
        <v>1693.3802751623807</v>
      </c>
      <c r="Z214" s="158">
        <f t="shared" si="125"/>
        <v>1723.7235912639585</v>
      </c>
      <c r="AA214" s="158">
        <f t="shared" si="125"/>
        <v>1753.6975693062423</v>
      </c>
      <c r="AB214" s="158">
        <f t="shared" si="125"/>
        <v>1769.9485331019594</v>
      </c>
      <c r="AC214" s="158">
        <f t="shared" si="125"/>
        <v>1805.5760224779508</v>
      </c>
      <c r="AD214" s="158">
        <f t="shared" si="125"/>
        <v>1829.7259675218261</v>
      </c>
      <c r="AE214" s="158">
        <f t="shared" si="125"/>
        <v>1858.474683247106</v>
      </c>
      <c r="AF214" s="158">
        <f t="shared" si="125"/>
        <v>1892.5051344050971</v>
      </c>
      <c r="AG214" s="158">
        <f t="shared" si="125"/>
        <v>1948.339264705784</v>
      </c>
      <c r="AH214" s="187">
        <f t="shared" si="125"/>
        <v>1994.8084767170922</v>
      </c>
    </row>
    <row r="215" spans="1:34">
      <c r="A215" t="s">
        <v>399</v>
      </c>
      <c r="C215" s="331">
        <f>C142</f>
        <v>372.31416000000002</v>
      </c>
      <c r="D215" s="331">
        <f t="shared" ref="D215:AH215" si="126">D142</f>
        <v>452.8268183703608</v>
      </c>
      <c r="E215" s="331">
        <f t="shared" si="126"/>
        <v>559.35801311768648</v>
      </c>
      <c r="F215" s="331">
        <f t="shared" si="126"/>
        <v>619.54107858855104</v>
      </c>
      <c r="G215" s="331">
        <f t="shared" si="126"/>
        <v>627.437846319551</v>
      </c>
      <c r="H215" s="402">
        <f t="shared" si="126"/>
        <v>553.6511403379742</v>
      </c>
      <c r="I215" s="14">
        <f t="shared" si="126"/>
        <v>651.94031247983287</v>
      </c>
      <c r="J215" s="14">
        <f t="shared" si="126"/>
        <v>739.45969328232945</v>
      </c>
      <c r="K215" s="14">
        <f t="shared" si="126"/>
        <v>859.01920363252202</v>
      </c>
      <c r="L215" s="14">
        <f t="shared" si="126"/>
        <v>963.05447794402164</v>
      </c>
      <c r="M215" s="14">
        <f t="shared" si="126"/>
        <v>1117.3951112585926</v>
      </c>
      <c r="N215" s="182">
        <f t="shared" si="126"/>
        <v>1247.6159131253853</v>
      </c>
      <c r="O215" s="14">
        <f t="shared" si="126"/>
        <v>1272.4582693428238</v>
      </c>
      <c r="P215" s="14">
        <f t="shared" si="126"/>
        <v>1291.3199568005882</v>
      </c>
      <c r="Q215" s="14">
        <f t="shared" si="126"/>
        <v>1324.9979734827029</v>
      </c>
      <c r="R215" s="14">
        <f t="shared" si="126"/>
        <v>1349.5442764652698</v>
      </c>
      <c r="S215" s="14">
        <f t="shared" si="126"/>
        <v>1367.4103420484666</v>
      </c>
      <c r="T215" s="14">
        <f t="shared" si="126"/>
        <v>1397.4949699274557</v>
      </c>
      <c r="U215" s="14">
        <f t="shared" si="126"/>
        <v>1426.6320123826235</v>
      </c>
      <c r="V215" s="14">
        <f t="shared" si="126"/>
        <v>1443.871706707956</v>
      </c>
      <c r="W215" s="14">
        <f t="shared" si="126"/>
        <v>1471.7518806622024</v>
      </c>
      <c r="X215" s="187">
        <f t="shared" si="126"/>
        <v>1497.0000333531873</v>
      </c>
      <c r="Y215" s="158">
        <f t="shared" si="126"/>
        <v>1524.0416703855765</v>
      </c>
      <c r="Z215" s="158">
        <f t="shared" si="126"/>
        <v>1551.3506445331891</v>
      </c>
      <c r="AA215" s="158">
        <f t="shared" si="126"/>
        <v>1578.3272145533415</v>
      </c>
      <c r="AB215" s="158">
        <f t="shared" si="126"/>
        <v>1592.9530764296555</v>
      </c>
      <c r="AC215" s="158">
        <f t="shared" si="126"/>
        <v>1625.0178047229056</v>
      </c>
      <c r="AD215" s="158">
        <f t="shared" si="126"/>
        <v>1646.7527470298592</v>
      </c>
      <c r="AE215" s="158">
        <f t="shared" si="126"/>
        <v>1672.6265813823911</v>
      </c>
      <c r="AF215" s="158">
        <f t="shared" si="126"/>
        <v>1703.2539758238586</v>
      </c>
      <c r="AG215" s="158">
        <f t="shared" si="126"/>
        <v>1753.5046740610433</v>
      </c>
      <c r="AH215" s="187">
        <f t="shared" si="126"/>
        <v>1795.3269490302162</v>
      </c>
    </row>
    <row r="216" spans="1:34">
      <c r="A216" t="s">
        <v>400</v>
      </c>
      <c r="C216" s="331">
        <f>SUM(C217:C218)</f>
        <v>3770.9651500000004</v>
      </c>
      <c r="D216" s="331">
        <f t="shared" ref="D216:AH216" si="127">SUM(D217:D218)</f>
        <v>3815.0606238037285</v>
      </c>
      <c r="E216" s="331">
        <f t="shared" si="127"/>
        <v>3519.7778273402628</v>
      </c>
      <c r="F216" s="331">
        <f t="shared" si="127"/>
        <v>3228.7858662583449</v>
      </c>
      <c r="G216" s="331">
        <f t="shared" si="127"/>
        <v>2826.655255978364</v>
      </c>
      <c r="H216" s="402">
        <f t="shared" si="127"/>
        <v>3253.5566299610091</v>
      </c>
      <c r="I216" s="14">
        <f t="shared" si="127"/>
        <v>3023.0275305590703</v>
      </c>
      <c r="J216" s="14">
        <f t="shared" si="127"/>
        <v>2717.749800651136</v>
      </c>
      <c r="K216" s="14">
        <f t="shared" si="127"/>
        <v>2448.1276211642312</v>
      </c>
      <c r="L216" s="14">
        <f t="shared" si="127"/>
        <v>2090.1828514853451</v>
      </c>
      <c r="M216" s="14">
        <f t="shared" si="127"/>
        <v>1803.0408548621353</v>
      </c>
      <c r="N216" s="190">
        <f t="shared" si="127"/>
        <v>1447.1974820277248</v>
      </c>
      <c r="O216" s="14">
        <f t="shared" si="127"/>
        <v>1453.0608650222662</v>
      </c>
      <c r="P216" s="14">
        <f t="shared" si="127"/>
        <v>1451.5825826494456</v>
      </c>
      <c r="Q216" s="14">
        <f t="shared" si="127"/>
        <v>1466.103361392398</v>
      </c>
      <c r="R216" s="14">
        <f t="shared" si="127"/>
        <v>1469.7770256600406</v>
      </c>
      <c r="S216" s="15">
        <f t="shared" si="127"/>
        <v>1465.7204599917043</v>
      </c>
      <c r="T216" s="14">
        <f t="shared" si="127"/>
        <v>1474.2227804769491</v>
      </c>
      <c r="U216" s="14">
        <f t="shared" si="127"/>
        <v>1481.008547315234</v>
      </c>
      <c r="V216" s="14">
        <f t="shared" si="127"/>
        <v>1474.9545961815031</v>
      </c>
      <c r="W216" s="14">
        <f t="shared" si="127"/>
        <v>1479.313898265144</v>
      </c>
      <c r="X216" s="187">
        <f t="shared" si="127"/>
        <v>1480.4509217549503</v>
      </c>
      <c r="Y216" s="158">
        <f t="shared" si="127"/>
        <v>1480.496436306152</v>
      </c>
      <c r="Z216" s="158">
        <f t="shared" si="127"/>
        <v>1480.3120883657475</v>
      </c>
      <c r="AA216" s="158">
        <f t="shared" si="127"/>
        <v>1479.338573325319</v>
      </c>
      <c r="AB216" s="158">
        <f t="shared" si="127"/>
        <v>1466.5441154070731</v>
      </c>
      <c r="AC216" s="158">
        <f t="shared" si="127"/>
        <v>1469.488645402151</v>
      </c>
      <c r="AD216" s="158">
        <f t="shared" si="127"/>
        <v>1462.6714317909305</v>
      </c>
      <c r="AE216" s="158">
        <f t="shared" si="127"/>
        <v>1459.2238393363818</v>
      </c>
      <c r="AF216" s="158">
        <f t="shared" si="127"/>
        <v>1459.4899151737309</v>
      </c>
      <c r="AG216" s="158">
        <f t="shared" si="127"/>
        <v>1475.779807529485</v>
      </c>
      <c r="AH216" s="187">
        <f t="shared" si="127"/>
        <v>1484.0388679472935</v>
      </c>
    </row>
    <row r="217" spans="1:34">
      <c r="A217" t="s">
        <v>401</v>
      </c>
      <c r="C217" s="331">
        <f>C114</f>
        <v>1984.7185000000002</v>
      </c>
      <c r="D217" s="331">
        <f t="shared" ref="D217:AH217" si="128">D114</f>
        <v>2007.9266441072255</v>
      </c>
      <c r="E217" s="331">
        <f t="shared" si="128"/>
        <v>1852.5146459685593</v>
      </c>
      <c r="F217" s="331">
        <f t="shared" si="128"/>
        <v>1699.3609822412341</v>
      </c>
      <c r="G217" s="331">
        <f t="shared" si="128"/>
        <v>1487.7132926201914</v>
      </c>
      <c r="H217" s="402">
        <f t="shared" si="128"/>
        <v>1712.3982262952679</v>
      </c>
      <c r="I217" s="14">
        <f t="shared" si="128"/>
        <v>1591.0671213468793</v>
      </c>
      <c r="J217" s="14">
        <f t="shared" si="128"/>
        <v>1430.3946319216504</v>
      </c>
      <c r="K217" s="14">
        <f t="shared" si="128"/>
        <v>1288.4882216653848</v>
      </c>
      <c r="L217" s="14">
        <f t="shared" si="128"/>
        <v>1100.0962376238658</v>
      </c>
      <c r="M217" s="14">
        <f t="shared" si="128"/>
        <v>948.96887098007119</v>
      </c>
      <c r="N217" s="187">
        <f t="shared" si="128"/>
        <v>761.68288527774985</v>
      </c>
      <c r="O217" s="14">
        <f t="shared" si="128"/>
        <v>764.76887632750845</v>
      </c>
      <c r="P217" s="14">
        <f t="shared" si="128"/>
        <v>763.99083297339234</v>
      </c>
      <c r="Q217" s="14">
        <f t="shared" si="128"/>
        <v>771.63334810126207</v>
      </c>
      <c r="R217" s="14">
        <f t="shared" si="128"/>
        <v>773.56685561054769</v>
      </c>
      <c r="S217" s="14">
        <f t="shared" si="128"/>
        <v>771.43182104826542</v>
      </c>
      <c r="T217" s="14">
        <f t="shared" si="128"/>
        <v>775.90672656681522</v>
      </c>
      <c r="U217" s="14">
        <f t="shared" si="128"/>
        <v>779.47818279749163</v>
      </c>
      <c r="V217" s="14">
        <f t="shared" si="128"/>
        <v>776.29189272710687</v>
      </c>
      <c r="W217" s="14">
        <f t="shared" si="128"/>
        <v>778.58626224481259</v>
      </c>
      <c r="X217" s="187">
        <f t="shared" si="128"/>
        <v>779.1846956605001</v>
      </c>
      <c r="Y217" s="158">
        <f t="shared" si="128"/>
        <v>779.20865068744843</v>
      </c>
      <c r="Z217" s="158">
        <f t="shared" si="128"/>
        <v>779.11162545565662</v>
      </c>
      <c r="AA217" s="158">
        <f t="shared" si="128"/>
        <v>778.599249118589</v>
      </c>
      <c r="AB217" s="158">
        <f t="shared" si="128"/>
        <v>771.86532389845956</v>
      </c>
      <c r="AC217" s="158">
        <f t="shared" si="128"/>
        <v>773.41507652744781</v>
      </c>
      <c r="AD217" s="158">
        <f t="shared" si="128"/>
        <v>769.82706936364752</v>
      </c>
      <c r="AE217" s="158">
        <f t="shared" si="128"/>
        <v>768.01254701914831</v>
      </c>
      <c r="AF217" s="158">
        <f t="shared" si="128"/>
        <v>768.15258693354258</v>
      </c>
      <c r="AG217" s="158">
        <f t="shared" si="128"/>
        <v>776.72621448920256</v>
      </c>
      <c r="AH217" s="187">
        <f t="shared" si="128"/>
        <v>781.07308839331245</v>
      </c>
    </row>
    <row r="218" spans="1:34">
      <c r="A218" t="s">
        <v>402</v>
      </c>
      <c r="C218" s="331">
        <f>C141</f>
        <v>1786.2466500000003</v>
      </c>
      <c r="D218" s="331">
        <f t="shared" ref="D218:AH218" si="129">D141</f>
        <v>1807.133979696503</v>
      </c>
      <c r="E218" s="331">
        <f t="shared" si="129"/>
        <v>1667.2631813717035</v>
      </c>
      <c r="F218" s="331">
        <f t="shared" si="129"/>
        <v>1529.4248840171106</v>
      </c>
      <c r="G218" s="331">
        <f t="shared" si="129"/>
        <v>1338.9419633581724</v>
      </c>
      <c r="H218" s="402">
        <f t="shared" si="129"/>
        <v>1541.1584036657412</v>
      </c>
      <c r="I218" s="14">
        <f t="shared" si="129"/>
        <v>1431.9604092121913</v>
      </c>
      <c r="J218" s="14">
        <f t="shared" si="129"/>
        <v>1287.3551687294853</v>
      </c>
      <c r="K218" s="14">
        <f t="shared" si="129"/>
        <v>1159.6393994988464</v>
      </c>
      <c r="L218" s="14">
        <f t="shared" si="129"/>
        <v>990.08661386147946</v>
      </c>
      <c r="M218" s="14">
        <f t="shared" si="129"/>
        <v>854.07198388206416</v>
      </c>
      <c r="N218" s="187">
        <f t="shared" si="129"/>
        <v>685.514596749975</v>
      </c>
      <c r="O218" s="14">
        <f t="shared" si="129"/>
        <v>688.29198869475761</v>
      </c>
      <c r="P218" s="14">
        <f t="shared" si="129"/>
        <v>687.59174967605315</v>
      </c>
      <c r="Q218" s="14">
        <f t="shared" si="129"/>
        <v>694.47001329113596</v>
      </c>
      <c r="R218" s="14">
        <f t="shared" si="129"/>
        <v>696.21017004949294</v>
      </c>
      <c r="S218" s="14">
        <f t="shared" si="129"/>
        <v>694.28863894343885</v>
      </c>
      <c r="T218" s="14">
        <f t="shared" si="129"/>
        <v>698.31605391013375</v>
      </c>
      <c r="U218" s="14">
        <f t="shared" si="129"/>
        <v>701.53036451774244</v>
      </c>
      <c r="V218" s="14">
        <f t="shared" si="129"/>
        <v>698.66270345439625</v>
      </c>
      <c r="W218" s="14">
        <f t="shared" si="129"/>
        <v>700.72763602033137</v>
      </c>
      <c r="X218" s="187">
        <f t="shared" si="129"/>
        <v>701.26622609445008</v>
      </c>
      <c r="Y218" s="158">
        <f t="shared" si="129"/>
        <v>701.28778561870354</v>
      </c>
      <c r="Z218" s="158">
        <f t="shared" si="129"/>
        <v>701.20046291009101</v>
      </c>
      <c r="AA218" s="158">
        <f t="shared" si="129"/>
        <v>700.73932420673009</v>
      </c>
      <c r="AB218" s="158">
        <f t="shared" si="129"/>
        <v>694.67879150861359</v>
      </c>
      <c r="AC218" s="158">
        <f t="shared" si="129"/>
        <v>696.07356887470314</v>
      </c>
      <c r="AD218" s="158">
        <f t="shared" si="129"/>
        <v>692.84436242728293</v>
      </c>
      <c r="AE218" s="158">
        <f t="shared" si="129"/>
        <v>691.21129231723353</v>
      </c>
      <c r="AF218" s="158">
        <f t="shared" si="129"/>
        <v>691.3373282401883</v>
      </c>
      <c r="AG218" s="158">
        <f t="shared" si="129"/>
        <v>699.05359304028229</v>
      </c>
      <c r="AH218" s="187">
        <f t="shared" si="129"/>
        <v>702.96577955398118</v>
      </c>
    </row>
    <row r="219" spans="1:34" s="1" customFormat="1">
      <c r="A219" s="1" t="s">
        <v>394</v>
      </c>
      <c r="B219" s="13"/>
      <c r="C219" s="341">
        <f>SUM(C220:C221)</f>
        <v>8943.9459999999999</v>
      </c>
      <c r="D219" s="341">
        <f t="shared" ref="D219:AH219" si="130">SUM(D220:D221)</f>
        <v>9717.7555132659545</v>
      </c>
      <c r="E219" s="341">
        <f t="shared" si="130"/>
        <v>9633.9012429107843</v>
      </c>
      <c r="F219" s="341">
        <f t="shared" si="130"/>
        <v>9569.9614464539391</v>
      </c>
      <c r="G219" s="341">
        <f t="shared" si="130"/>
        <v>9068.4057551127626</v>
      </c>
      <c r="H219" s="405">
        <f t="shared" si="130"/>
        <v>9071.2301644353829</v>
      </c>
      <c r="I219" s="15">
        <f t="shared" si="130"/>
        <v>9461.8562595903004</v>
      </c>
      <c r="J219" s="15">
        <f t="shared" si="130"/>
        <v>9659.0936366948263</v>
      </c>
      <c r="K219" s="15">
        <f t="shared" si="130"/>
        <v>9990.9398278177614</v>
      </c>
      <c r="L219" s="15">
        <f t="shared" si="130"/>
        <v>9946.6484766247249</v>
      </c>
      <c r="M219" s="15">
        <f t="shared" si="130"/>
        <v>10229.518820630343</v>
      </c>
      <c r="N219" s="190">
        <f t="shared" si="130"/>
        <v>10095.766300923384</v>
      </c>
      <c r="O219" s="15">
        <f t="shared" si="130"/>
        <v>10211.403125510236</v>
      </c>
      <c r="P219" s="15">
        <f t="shared" si="130"/>
        <v>10276.40696164898</v>
      </c>
      <c r="Q219" s="15">
        <f t="shared" si="130"/>
        <v>10457.029322226295</v>
      </c>
      <c r="R219" s="15">
        <f t="shared" si="130"/>
        <v>10561.733935764716</v>
      </c>
      <c r="S219" s="15">
        <f t="shared" si="130"/>
        <v>10611.711038806076</v>
      </c>
      <c r="T219" s="15">
        <f t="shared" si="130"/>
        <v>10755.01532984314</v>
      </c>
      <c r="U219" s="15">
        <f t="shared" si="130"/>
        <v>10887.827969883139</v>
      </c>
      <c r="V219" s="15">
        <f t="shared" si="130"/>
        <v>10926.791898940312</v>
      </c>
      <c r="W219" s="15">
        <f t="shared" si="130"/>
        <v>11044.511451213919</v>
      </c>
      <c r="X219" s="190">
        <f t="shared" si="130"/>
        <v>11139.587809614721</v>
      </c>
      <c r="Y219" s="130">
        <f t="shared" si="130"/>
        <v>11157.120358348822</v>
      </c>
      <c r="Z219" s="130">
        <f t="shared" si="130"/>
        <v>11172.656728119289</v>
      </c>
      <c r="AA219" s="130">
        <f t="shared" si="130"/>
        <v>11181.917006506101</v>
      </c>
      <c r="AB219" s="130">
        <f t="shared" si="130"/>
        <v>11100.657210970838</v>
      </c>
      <c r="AC219" s="130">
        <f t="shared" si="130"/>
        <v>11139.114707368075</v>
      </c>
      <c r="AD219" s="130">
        <f t="shared" si="130"/>
        <v>11102.670262160096</v>
      </c>
      <c r="AE219" s="130">
        <f t="shared" si="130"/>
        <v>11091.582173635372</v>
      </c>
      <c r="AF219" s="130">
        <f t="shared" si="130"/>
        <v>11108.589709521621</v>
      </c>
      <c r="AG219" s="130">
        <f t="shared" si="130"/>
        <v>11248.461991789656</v>
      </c>
      <c r="AH219" s="190">
        <f t="shared" si="130"/>
        <v>11326.725204140119</v>
      </c>
    </row>
    <row r="220" spans="1:34">
      <c r="A220" t="s">
        <v>403</v>
      </c>
      <c r="C220" s="331">
        <f>SUM(C116:C117)</f>
        <v>4707.34</v>
      </c>
      <c r="D220" s="331">
        <f t="shared" ref="D220:AH220" si="131">SUM(D116:D117)</f>
        <v>5114.6081648768186</v>
      </c>
      <c r="E220" s="331">
        <f t="shared" si="131"/>
        <v>5070.474338374097</v>
      </c>
      <c r="F220" s="331">
        <f t="shared" si="131"/>
        <v>5036.8218139231258</v>
      </c>
      <c r="G220" s="331">
        <f t="shared" si="131"/>
        <v>4772.8451342698754</v>
      </c>
      <c r="H220" s="402">
        <f t="shared" si="131"/>
        <v>4774.3316654923065</v>
      </c>
      <c r="I220" s="14">
        <f t="shared" si="131"/>
        <v>4979.9243471527898</v>
      </c>
      <c r="J220" s="14">
        <f t="shared" si="131"/>
        <v>5083.7334929972776</v>
      </c>
      <c r="K220" s="14">
        <f t="shared" si="131"/>
        <v>5258.38938306198</v>
      </c>
      <c r="L220" s="14">
        <f t="shared" si="131"/>
        <v>5235.0781455919605</v>
      </c>
      <c r="M220" s="14">
        <f t="shared" si="131"/>
        <v>5383.9572740159692</v>
      </c>
      <c r="N220" s="187">
        <f t="shared" si="131"/>
        <v>5313.5612110123075</v>
      </c>
      <c r="O220" s="14">
        <f t="shared" si="131"/>
        <v>5374.4226976369664</v>
      </c>
      <c r="P220" s="14">
        <f t="shared" si="131"/>
        <v>5408.6352429731478</v>
      </c>
      <c r="Q220" s="14">
        <f t="shared" si="131"/>
        <v>5503.6996432769974</v>
      </c>
      <c r="R220" s="14">
        <f t="shared" si="131"/>
        <v>5558.8073346130086</v>
      </c>
      <c r="S220" s="14">
        <f t="shared" si="131"/>
        <v>5585.1110730558294</v>
      </c>
      <c r="T220" s="14">
        <f t="shared" si="131"/>
        <v>5660.5343841279682</v>
      </c>
      <c r="U220" s="14">
        <f t="shared" si="131"/>
        <v>5730.4357736227048</v>
      </c>
      <c r="V220" s="14">
        <f t="shared" si="131"/>
        <v>5750.9431047054268</v>
      </c>
      <c r="W220" s="14">
        <f t="shared" si="131"/>
        <v>5812.9007637967989</v>
      </c>
      <c r="X220" s="187">
        <f t="shared" si="131"/>
        <v>5862.9409524288003</v>
      </c>
      <c r="Y220" s="158">
        <f t="shared" si="131"/>
        <v>5872.1686096572748</v>
      </c>
      <c r="Z220" s="158">
        <f t="shared" si="131"/>
        <v>5880.3456463785733</v>
      </c>
      <c r="AA220" s="158">
        <f t="shared" si="131"/>
        <v>5885.2194771084742</v>
      </c>
      <c r="AB220" s="158">
        <f t="shared" si="131"/>
        <v>5842.4511636688621</v>
      </c>
      <c r="AC220" s="158">
        <f t="shared" si="131"/>
        <v>5862.6919512463555</v>
      </c>
      <c r="AD220" s="158">
        <f t="shared" si="131"/>
        <v>5843.5106642947867</v>
      </c>
      <c r="AE220" s="158">
        <f t="shared" si="131"/>
        <v>5837.6748282291437</v>
      </c>
      <c r="AF220" s="158">
        <f t="shared" si="131"/>
        <v>5846.6261629061155</v>
      </c>
      <c r="AG220" s="158">
        <f t="shared" si="131"/>
        <v>5920.2431535735032</v>
      </c>
      <c r="AH220" s="187">
        <f t="shared" si="131"/>
        <v>5961.4343179684838</v>
      </c>
    </row>
    <row r="221" spans="1:34">
      <c r="A221" t="s">
        <v>404</v>
      </c>
      <c r="C221" s="331">
        <f>SUM(C143:C144)</f>
        <v>4236.6060000000007</v>
      </c>
      <c r="D221" s="331">
        <f t="shared" ref="D221:AH221" si="132">SUM(D143:D144)</f>
        <v>4603.1473483891368</v>
      </c>
      <c r="E221" s="331">
        <f t="shared" si="132"/>
        <v>4563.4269045366873</v>
      </c>
      <c r="F221" s="331">
        <f t="shared" si="132"/>
        <v>4533.1396325308133</v>
      </c>
      <c r="G221" s="331">
        <f t="shared" si="132"/>
        <v>4295.5606208428871</v>
      </c>
      <c r="H221" s="402">
        <f t="shared" si="132"/>
        <v>4296.8984989430755</v>
      </c>
      <c r="I221" s="14">
        <f t="shared" si="132"/>
        <v>4481.9319124375106</v>
      </c>
      <c r="J221" s="14">
        <f t="shared" si="132"/>
        <v>4575.3601436975496</v>
      </c>
      <c r="K221" s="14">
        <f t="shared" si="132"/>
        <v>4732.5504447557814</v>
      </c>
      <c r="L221" s="14">
        <f t="shared" si="132"/>
        <v>4711.5703310327644</v>
      </c>
      <c r="M221" s="14">
        <f t="shared" si="132"/>
        <v>4845.5615466143727</v>
      </c>
      <c r="N221" s="187">
        <f t="shared" si="132"/>
        <v>4782.2050899110764</v>
      </c>
      <c r="O221" s="14">
        <f t="shared" si="132"/>
        <v>4836.9804278732699</v>
      </c>
      <c r="P221" s="14">
        <f t="shared" si="132"/>
        <v>4867.7717186758327</v>
      </c>
      <c r="Q221" s="14">
        <f t="shared" si="132"/>
        <v>4953.3296789492979</v>
      </c>
      <c r="R221" s="14">
        <f t="shared" si="132"/>
        <v>5002.9266011517075</v>
      </c>
      <c r="S221" s="14">
        <f t="shared" si="132"/>
        <v>5026.5999657502462</v>
      </c>
      <c r="T221" s="14">
        <f t="shared" si="132"/>
        <v>5094.4809457151714</v>
      </c>
      <c r="U221" s="14">
        <f t="shared" si="132"/>
        <v>5157.3921962604345</v>
      </c>
      <c r="V221" s="14">
        <f t="shared" si="132"/>
        <v>5175.8487942348847</v>
      </c>
      <c r="W221" s="14">
        <f t="shared" si="132"/>
        <v>5231.6106874171201</v>
      </c>
      <c r="X221" s="187">
        <f t="shared" si="132"/>
        <v>5276.6468571859205</v>
      </c>
      <c r="Y221" s="158">
        <f t="shared" si="132"/>
        <v>5284.9517486915474</v>
      </c>
      <c r="Z221" s="158">
        <f t="shared" si="132"/>
        <v>5292.311081740716</v>
      </c>
      <c r="AA221" s="158">
        <f t="shared" si="132"/>
        <v>5296.6975293976275</v>
      </c>
      <c r="AB221" s="158">
        <f t="shared" si="132"/>
        <v>5258.2060473019756</v>
      </c>
      <c r="AC221" s="158">
        <f t="shared" si="132"/>
        <v>5276.4227561217194</v>
      </c>
      <c r="AD221" s="158">
        <f t="shared" si="132"/>
        <v>5259.1595978653086</v>
      </c>
      <c r="AE221" s="158">
        <f t="shared" si="132"/>
        <v>5253.9073454062291</v>
      </c>
      <c r="AF221" s="158">
        <f t="shared" si="132"/>
        <v>5261.963546615505</v>
      </c>
      <c r="AG221" s="158">
        <f t="shared" si="132"/>
        <v>5328.218838216153</v>
      </c>
      <c r="AH221" s="187">
        <f t="shared" si="132"/>
        <v>5365.290886171636</v>
      </c>
    </row>
    <row r="222" spans="1:34">
      <c r="A222" s="1" t="s">
        <v>426</v>
      </c>
      <c r="C222" s="331">
        <f>SUM(C210,C213,C216,C219)</f>
        <v>13500.908009999999</v>
      </c>
      <c r="D222" s="331">
        <f t="shared" ref="D222:AH222" si="133">SUM(D210,D213,D216,D219)</f>
        <v>14488.784215868334</v>
      </c>
      <c r="E222" s="331">
        <f t="shared" si="133"/>
        <v>14334.546362976549</v>
      </c>
      <c r="F222" s="331">
        <f t="shared" si="133"/>
        <v>14106.667769802429</v>
      </c>
      <c r="G222" s="331">
        <f t="shared" si="133"/>
        <v>13219.652432543011</v>
      </c>
      <c r="H222" s="402">
        <f t="shared" si="133"/>
        <v>13493.606168443226</v>
      </c>
      <c r="I222" s="14">
        <f t="shared" si="133"/>
        <v>13861.202563752289</v>
      </c>
      <c r="J222" s="14">
        <f t="shared" si="133"/>
        <v>13937.925380562965</v>
      </c>
      <c r="K222" s="14">
        <f t="shared" si="133"/>
        <v>14252.552844889107</v>
      </c>
      <c r="L222" s="14">
        <f t="shared" si="133"/>
        <v>14069.946778262776</v>
      </c>
      <c r="M222" s="14">
        <f t="shared" si="133"/>
        <v>14391.505401022467</v>
      </c>
      <c r="N222" s="187">
        <f t="shared" si="133"/>
        <v>14176.820124614598</v>
      </c>
      <c r="O222" s="14">
        <f t="shared" si="133"/>
        <v>14350.765316887837</v>
      </c>
      <c r="P222" s="14">
        <f t="shared" si="133"/>
        <v>14454.109996558189</v>
      </c>
      <c r="Q222" s="14">
        <f t="shared" si="133"/>
        <v>14720.351185269818</v>
      </c>
      <c r="R222" s="14">
        <f t="shared" si="133"/>
        <v>14880.549446369512</v>
      </c>
      <c r="S222" s="14">
        <f t="shared" si="133"/>
        <v>14964.187240826086</v>
      </c>
      <c r="T222" s="14">
        <f t="shared" si="133"/>
        <v>15179.505857198639</v>
      </c>
      <c r="U222" s="14">
        <f t="shared" si="133"/>
        <v>15380.615810411417</v>
      </c>
      <c r="V222" s="14">
        <f t="shared" si="133"/>
        <v>15449.920705832639</v>
      </c>
      <c r="W222" s="14">
        <f t="shared" si="133"/>
        <v>15630.85771693792</v>
      </c>
      <c r="X222" s="187">
        <f t="shared" si="133"/>
        <v>15780.372765135307</v>
      </c>
      <c r="Y222" s="158">
        <f t="shared" si="133"/>
        <v>15855.03874020293</v>
      </c>
      <c r="Z222" s="158">
        <f t="shared" si="133"/>
        <v>15928.043052282184</v>
      </c>
      <c r="AA222" s="158">
        <f t="shared" si="133"/>
        <v>15993.280363691003</v>
      </c>
      <c r="AB222" s="158">
        <f t="shared" si="133"/>
        <v>15930.102935909526</v>
      </c>
      <c r="AC222" s="158">
        <f t="shared" si="133"/>
        <v>16039.197179971081</v>
      </c>
      <c r="AD222" s="158">
        <f t="shared" si="133"/>
        <v>16041.820408502712</v>
      </c>
      <c r="AE222" s="158">
        <f t="shared" si="133"/>
        <v>16081.907277601251</v>
      </c>
      <c r="AF222" s="158">
        <f t="shared" si="133"/>
        <v>16163.838734924308</v>
      </c>
      <c r="AG222" s="158">
        <f t="shared" si="133"/>
        <v>16426.085738085967</v>
      </c>
      <c r="AH222" s="187">
        <f t="shared" si="133"/>
        <v>16600.899497834722</v>
      </c>
    </row>
    <row r="223" spans="1:34" s="1" customFormat="1">
      <c r="A223" s="1" t="s">
        <v>444</v>
      </c>
      <c r="B223" s="13"/>
      <c r="C223" s="328" t="s">
        <v>0</v>
      </c>
      <c r="D223" s="341">
        <f>D210+D213</f>
        <v>955.96807879865094</v>
      </c>
      <c r="E223" s="341">
        <f t="shared" ref="E223:AH223" si="134">E210+E213</f>
        <v>1180.8672927255025</v>
      </c>
      <c r="F223" s="341">
        <f t="shared" si="134"/>
        <v>1307.920457090145</v>
      </c>
      <c r="G223" s="341">
        <f t="shared" si="134"/>
        <v>1324.5914214518834</v>
      </c>
      <c r="H223" s="405">
        <f>H210+H213</f>
        <v>1168.8193740468346</v>
      </c>
      <c r="I223" s="15">
        <f t="shared" si="134"/>
        <v>1376.3187736029176</v>
      </c>
      <c r="J223" s="15">
        <f t="shared" si="134"/>
        <v>1561.0819432170024</v>
      </c>
      <c r="K223" s="15">
        <f t="shared" si="134"/>
        <v>1813.4853959071145</v>
      </c>
      <c r="L223" s="15">
        <f t="shared" si="134"/>
        <v>2033.1154501527071</v>
      </c>
      <c r="M223" s="15">
        <f t="shared" si="134"/>
        <v>2358.9457255299876</v>
      </c>
      <c r="N223" s="190">
        <f t="shared" si="134"/>
        <v>2633.8563416634897</v>
      </c>
      <c r="O223" s="15">
        <f t="shared" si="134"/>
        <v>2686.3013263553348</v>
      </c>
      <c r="P223" s="15">
        <f t="shared" si="134"/>
        <v>2726.1204522597627</v>
      </c>
      <c r="Q223" s="15">
        <f t="shared" si="134"/>
        <v>2797.2185016511239</v>
      </c>
      <c r="R223" s="15">
        <f t="shared" si="134"/>
        <v>2849.038484944756</v>
      </c>
      <c r="S223" s="15">
        <f t="shared" si="134"/>
        <v>2886.7557420283065</v>
      </c>
      <c r="T223" s="15">
        <f t="shared" si="134"/>
        <v>2950.267746878551</v>
      </c>
      <c r="U223" s="15">
        <f t="shared" si="134"/>
        <v>3011.7792932130433</v>
      </c>
      <c r="V223" s="15">
        <f t="shared" si="134"/>
        <v>3048.1742107108244</v>
      </c>
      <c r="W223" s="15">
        <f t="shared" si="134"/>
        <v>3107.0323674588567</v>
      </c>
      <c r="X223" s="190">
        <f t="shared" si="134"/>
        <v>3160.3340337656373</v>
      </c>
      <c r="Y223" s="130">
        <f t="shared" si="134"/>
        <v>3217.421945547957</v>
      </c>
      <c r="Z223" s="130">
        <f t="shared" si="134"/>
        <v>3275.0742357971476</v>
      </c>
      <c r="AA223" s="130">
        <f t="shared" si="134"/>
        <v>3332.0247838595837</v>
      </c>
      <c r="AB223" s="130">
        <f t="shared" si="134"/>
        <v>3362.9016095316147</v>
      </c>
      <c r="AC223" s="130">
        <f t="shared" si="134"/>
        <v>3430.5938272008561</v>
      </c>
      <c r="AD223" s="130">
        <f t="shared" si="134"/>
        <v>3476.4787145516852</v>
      </c>
      <c r="AE223" s="130">
        <f t="shared" si="134"/>
        <v>3531.1012646294971</v>
      </c>
      <c r="AF223" s="130">
        <f t="shared" si="134"/>
        <v>3595.7591102289557</v>
      </c>
      <c r="AG223" s="130">
        <f t="shared" si="134"/>
        <v>3701.8439387668273</v>
      </c>
      <c r="AH223" s="190">
        <f t="shared" si="134"/>
        <v>3790.1354257473085</v>
      </c>
    </row>
    <row r="224" spans="1:34">
      <c r="A224" t="s">
        <v>447</v>
      </c>
      <c r="D224" s="331">
        <f>D210+D213+D216</f>
        <v>4771.0287026023798</v>
      </c>
      <c r="E224" s="331">
        <f t="shared" ref="E224:AH224" si="135">E210+E213+E216</f>
        <v>4700.6451200657648</v>
      </c>
      <c r="F224" s="331">
        <f t="shared" si="135"/>
        <v>4536.7063233484896</v>
      </c>
      <c r="G224" s="331">
        <f t="shared" si="135"/>
        <v>4151.2466774302475</v>
      </c>
      <c r="H224" s="402">
        <f t="shared" si="135"/>
        <v>4422.3760040078432</v>
      </c>
      <c r="I224" s="14">
        <f t="shared" si="135"/>
        <v>4399.346304161988</v>
      </c>
      <c r="J224" s="14">
        <f t="shared" si="135"/>
        <v>4278.8317438681388</v>
      </c>
      <c r="K224" s="14">
        <f t="shared" si="135"/>
        <v>4261.6130170713459</v>
      </c>
      <c r="L224" s="14">
        <f t="shared" si="135"/>
        <v>4123.2983016380522</v>
      </c>
      <c r="M224" s="14">
        <f t="shared" si="135"/>
        <v>4161.986580392123</v>
      </c>
      <c r="N224" s="187">
        <f t="shared" si="135"/>
        <v>4081.0538236912143</v>
      </c>
      <c r="O224" s="14">
        <f t="shared" si="135"/>
        <v>4139.3621913776005</v>
      </c>
      <c r="P224" s="14">
        <f t="shared" si="135"/>
        <v>4177.7030349092083</v>
      </c>
      <c r="Q224" s="14">
        <f t="shared" si="135"/>
        <v>4263.3218630435222</v>
      </c>
      <c r="R224" s="14">
        <f t="shared" si="135"/>
        <v>4318.8155106047961</v>
      </c>
      <c r="S224" s="14">
        <f t="shared" si="135"/>
        <v>4352.4762020200105</v>
      </c>
      <c r="T224" s="14">
        <f t="shared" si="135"/>
        <v>4424.4905273554996</v>
      </c>
      <c r="U224" s="14">
        <f t="shared" si="135"/>
        <v>4492.7878405282772</v>
      </c>
      <c r="V224" s="14">
        <f t="shared" si="135"/>
        <v>4523.1288068923277</v>
      </c>
      <c r="W224" s="14">
        <f t="shared" si="135"/>
        <v>4586.3462657240007</v>
      </c>
      <c r="X224" s="187">
        <f t="shared" si="135"/>
        <v>4640.7849555205876</v>
      </c>
      <c r="Y224" s="158">
        <f t="shared" si="135"/>
        <v>4697.9183818541087</v>
      </c>
      <c r="Z224" s="158">
        <f t="shared" si="135"/>
        <v>4755.3863241628951</v>
      </c>
      <c r="AA224" s="158">
        <f t="shared" si="135"/>
        <v>4811.3633571849023</v>
      </c>
      <c r="AB224" s="158">
        <f t="shared" si="135"/>
        <v>4829.4457249386878</v>
      </c>
      <c r="AC224" s="158">
        <f t="shared" si="135"/>
        <v>4900.0824726030069</v>
      </c>
      <c r="AD224" s="158">
        <f t="shared" si="135"/>
        <v>4939.1501463426157</v>
      </c>
      <c r="AE224" s="158">
        <f t="shared" si="135"/>
        <v>4990.325103965879</v>
      </c>
      <c r="AF224" s="158">
        <f t="shared" si="135"/>
        <v>5055.249025402687</v>
      </c>
      <c r="AG224" s="158">
        <f t="shared" si="135"/>
        <v>5177.6237462963127</v>
      </c>
      <c r="AH224" s="187">
        <f t="shared" si="135"/>
        <v>5274.1742936946021</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454</v>
      </c>
      <c r="D226" s="331">
        <f>D210+D213</f>
        <v>955.96807879865094</v>
      </c>
      <c r="E226" s="331">
        <f>D226+E210+E213</f>
        <v>2136.8353715241533</v>
      </c>
      <c r="F226" s="331">
        <f>E226+F210+F213</f>
        <v>3444.7558286142985</v>
      </c>
      <c r="G226" s="331">
        <f>F226+G210+G213</f>
        <v>4769.3472500661819</v>
      </c>
      <c r="H226" s="402">
        <f t="shared" ref="H226:X226" si="136">G226+H210+H213</f>
        <v>5938.166624113017</v>
      </c>
      <c r="I226" s="14">
        <f t="shared" si="136"/>
        <v>7314.4853977159346</v>
      </c>
      <c r="J226" s="14">
        <f t="shared" si="136"/>
        <v>8875.5673409329374</v>
      </c>
      <c r="K226" s="14">
        <f t="shared" si="136"/>
        <v>10689.052736840053</v>
      </c>
      <c r="L226" s="14">
        <f t="shared" si="136"/>
        <v>12722.16818699276</v>
      </c>
      <c r="M226" s="14">
        <f t="shared" si="136"/>
        <v>15081.113912522747</v>
      </c>
      <c r="N226" s="187">
        <f t="shared" si="136"/>
        <v>17714.970254186235</v>
      </c>
      <c r="O226" s="14">
        <f t="shared" si="136"/>
        <v>20401.271580541572</v>
      </c>
      <c r="P226" s="14">
        <f t="shared" si="136"/>
        <v>23127.392032801334</v>
      </c>
      <c r="Q226" s="14">
        <f t="shared" si="136"/>
        <v>25924.610534452459</v>
      </c>
      <c r="R226" s="14">
        <f t="shared" si="136"/>
        <v>28773.649019397213</v>
      </c>
      <c r="S226" s="14">
        <f t="shared" si="136"/>
        <v>31660.404761425518</v>
      </c>
      <c r="T226" s="14">
        <f t="shared" si="136"/>
        <v>34610.672508304066</v>
      </c>
      <c r="U226" s="14">
        <f t="shared" si="136"/>
        <v>37622.451801517105</v>
      </c>
      <c r="V226" s="14">
        <f t="shared" si="136"/>
        <v>40670.626012227927</v>
      </c>
      <c r="W226" s="14">
        <f t="shared" si="136"/>
        <v>43777.658379686785</v>
      </c>
      <c r="X226" s="187">
        <f t="shared" si="136"/>
        <v>46937.992413452419</v>
      </c>
      <c r="Y226" s="158">
        <f t="shared" ref="Y226:AH226" si="137">X226+Y210+Y213</f>
        <v>50155.414359000373</v>
      </c>
      <c r="Z226" s="158">
        <f t="shared" si="137"/>
        <v>53430.48859479752</v>
      </c>
      <c r="AA226" s="158">
        <f t="shared" si="137"/>
        <v>56762.513378657102</v>
      </c>
      <c r="AB226" s="158">
        <f t="shared" si="137"/>
        <v>60125.414988188713</v>
      </c>
      <c r="AC226" s="158">
        <f t="shared" si="137"/>
        <v>63556.00881538957</v>
      </c>
      <c r="AD226" s="158">
        <f t="shared" si="137"/>
        <v>67032.487529941252</v>
      </c>
      <c r="AE226" s="158">
        <f t="shared" si="137"/>
        <v>70563.588794570751</v>
      </c>
      <c r="AF226" s="158">
        <f t="shared" si="137"/>
        <v>74159.34790479971</v>
      </c>
      <c r="AG226" s="158">
        <f t="shared" si="137"/>
        <v>77861.191843566543</v>
      </c>
      <c r="AH226" s="187">
        <f t="shared" si="137"/>
        <v>81651.327269313857</v>
      </c>
    </row>
    <row r="227" spans="1:34">
      <c r="A227" s="1" t="s">
        <v>455</v>
      </c>
      <c r="D227" s="331">
        <f>D219</f>
        <v>9717.7555132659545</v>
      </c>
      <c r="E227" s="331">
        <f>D227+E219</f>
        <v>19351.656756176737</v>
      </c>
      <c r="F227" s="331">
        <f>E227+F219</f>
        <v>28921.618202630678</v>
      </c>
      <c r="G227" s="331">
        <f t="shared" ref="G227:X227" si="138">F227+G219</f>
        <v>37990.02395774344</v>
      </c>
      <c r="H227" s="402">
        <f t="shared" si="138"/>
        <v>47061.254122178827</v>
      </c>
      <c r="I227" s="14">
        <f t="shared" si="138"/>
        <v>56523.110381769126</v>
      </c>
      <c r="J227" s="14">
        <f t="shared" si="138"/>
        <v>66182.204018463948</v>
      </c>
      <c r="K227" s="14">
        <f t="shared" si="138"/>
        <v>76173.143846281717</v>
      </c>
      <c r="L227" s="14">
        <f t="shared" si="138"/>
        <v>86119.792322906447</v>
      </c>
      <c r="M227" s="14">
        <f t="shared" si="138"/>
        <v>96349.31114353679</v>
      </c>
      <c r="N227" s="187">
        <f t="shared" si="138"/>
        <v>106445.07744446017</v>
      </c>
      <c r="O227" s="14">
        <f t="shared" si="138"/>
        <v>116656.4805699704</v>
      </c>
      <c r="P227" s="14">
        <f t="shared" si="138"/>
        <v>126932.88753161937</v>
      </c>
      <c r="Q227" s="14">
        <f t="shared" si="138"/>
        <v>137389.91685384567</v>
      </c>
      <c r="R227" s="14">
        <f t="shared" si="138"/>
        <v>147951.6507896104</v>
      </c>
      <c r="S227" s="14">
        <f t="shared" si="138"/>
        <v>158563.36182841647</v>
      </c>
      <c r="T227" s="14">
        <f t="shared" si="138"/>
        <v>169318.37715825962</v>
      </c>
      <c r="U227" s="14">
        <f t="shared" si="138"/>
        <v>180206.20512814276</v>
      </c>
      <c r="V227" s="14">
        <f t="shared" si="138"/>
        <v>191132.99702708307</v>
      </c>
      <c r="W227" s="14">
        <f t="shared" si="138"/>
        <v>202177.50847829698</v>
      </c>
      <c r="X227" s="187">
        <f t="shared" si="138"/>
        <v>213317.0962879117</v>
      </c>
      <c r="Y227" s="158">
        <f t="shared" ref="Y227:AH227" si="139">X227+Y219</f>
        <v>224474.21664626052</v>
      </c>
      <c r="Z227" s="158">
        <f t="shared" si="139"/>
        <v>235646.87337437982</v>
      </c>
      <c r="AA227" s="158">
        <f t="shared" si="139"/>
        <v>246828.79038088591</v>
      </c>
      <c r="AB227" s="158">
        <f t="shared" si="139"/>
        <v>257929.44759185676</v>
      </c>
      <c r="AC227" s="158">
        <f t="shared" si="139"/>
        <v>269068.56229922484</v>
      </c>
      <c r="AD227" s="158">
        <f t="shared" si="139"/>
        <v>280171.23256138491</v>
      </c>
      <c r="AE227" s="158">
        <f t="shared" si="139"/>
        <v>291262.81473502028</v>
      </c>
      <c r="AF227" s="158">
        <f t="shared" si="139"/>
        <v>302371.4044445419</v>
      </c>
      <c r="AG227" s="158">
        <f t="shared" si="139"/>
        <v>313619.86643633153</v>
      </c>
      <c r="AH227" s="187">
        <f t="shared" si="139"/>
        <v>324946.59164047166</v>
      </c>
    </row>
    <row r="228" spans="1:34">
      <c r="A228" s="1" t="s">
        <v>457</v>
      </c>
      <c r="D228" s="331">
        <f t="shared" ref="D228:AH228" si="140">D227-D207</f>
        <v>173.561513265955</v>
      </c>
      <c r="E228" s="331">
        <f t="shared" si="140"/>
        <v>312.63878919654599</v>
      </c>
      <c r="F228" s="331">
        <f t="shared" si="140"/>
        <v>431.27574102719882</v>
      </c>
      <c r="G228" s="331">
        <f t="shared" si="140"/>
        <v>589.21723091851163</v>
      </c>
      <c r="H228" s="402">
        <f>H227-H207</f>
        <v>588.94553091851412</v>
      </c>
      <c r="I228" s="14">
        <f t="shared" si="140"/>
        <v>784.69174565139838</v>
      </c>
      <c r="J228" s="14">
        <f t="shared" si="140"/>
        <v>880.32856493879808</v>
      </c>
      <c r="K228" s="14">
        <f t="shared" si="140"/>
        <v>1245.5386595224845</v>
      </c>
      <c r="L228" s="14">
        <f t="shared" si="140"/>
        <v>1087.7297536410624</v>
      </c>
      <c r="M228" s="14">
        <f t="shared" si="140"/>
        <v>982.41443563251232</v>
      </c>
      <c r="N228" s="187">
        <f t="shared" si="140"/>
        <v>321.03287159719912</v>
      </c>
      <c r="O228" s="14">
        <f t="shared" si="140"/>
        <v>-359.20449772308348</v>
      </c>
      <c r="P228" s="14">
        <f t="shared" si="140"/>
        <v>-1039.3473208989017</v>
      </c>
      <c r="Q228" s="14">
        <f t="shared" si="140"/>
        <v>-1759.3718904145353</v>
      </c>
      <c r="R228" s="14">
        <f t="shared" si="140"/>
        <v>-2485.3377987818676</v>
      </c>
      <c r="S228" s="14">
        <f t="shared" si="140"/>
        <v>-3216.9600804858201</v>
      </c>
      <c r="T228" s="14">
        <f t="shared" si="140"/>
        <v>-3979.4745536865958</v>
      </c>
      <c r="U228" s="14">
        <f t="shared" si="140"/>
        <v>-4747.68172328113</v>
      </c>
      <c r="V228" s="14">
        <f t="shared" si="140"/>
        <v>-5522.5369268561481</v>
      </c>
      <c r="W228" s="14">
        <f t="shared" si="140"/>
        <v>-6323.8313069283031</v>
      </c>
      <c r="X228" s="187">
        <f t="shared" si="140"/>
        <v>-7140.8878996584681</v>
      </c>
      <c r="Y228" s="158">
        <f t="shared" si="140"/>
        <v>-7980.7657948573469</v>
      </c>
      <c r="Z228" s="158">
        <f t="shared" si="140"/>
        <v>-8841.4208864088869</v>
      </c>
      <c r="AA228" s="158">
        <f t="shared" si="140"/>
        <v>-9721.1019047192531</v>
      </c>
      <c r="AB228" s="158">
        <f t="shared" si="140"/>
        <v>-10594.820479486079</v>
      </c>
      <c r="AC228" s="158">
        <f t="shared" si="140"/>
        <v>-11497.334392647841</v>
      </c>
      <c r="AD228" s="158">
        <f t="shared" si="140"/>
        <v>-12408.094626851322</v>
      </c>
      <c r="AE228" s="158">
        <f t="shared" si="140"/>
        <v>-13335.949578809435</v>
      </c>
      <c r="AF228" s="158">
        <f t="shared" si="140"/>
        <v>-14289.396548973047</v>
      </c>
      <c r="AG228" s="158">
        <f t="shared" si="140"/>
        <v>-15303.144771528314</v>
      </c>
      <c r="AH228" s="187">
        <f t="shared" si="140"/>
        <v>-16362.400765557133</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331">
        <f t="shared" ref="C234:AH234" si="145">C213-C194</f>
        <v>-2.7000000000043656E-4</v>
      </c>
      <c r="D234" s="331">
        <f t="shared" si="145"/>
        <v>120.2669487986509</v>
      </c>
      <c r="E234" s="331">
        <f t="shared" si="145"/>
        <v>130.62908546289987</v>
      </c>
      <c r="F234" s="331">
        <f t="shared" si="145"/>
        <v>129.77474488252369</v>
      </c>
      <c r="G234" s="331">
        <f t="shared" si="145"/>
        <v>244.01814344211448</v>
      </c>
      <c r="H234" s="402">
        <f>H213-H194</f>
        <v>-2.7000000000043656E-4</v>
      </c>
      <c r="I234" s="14">
        <f t="shared" si="145"/>
        <v>112.16460616887662</v>
      </c>
      <c r="J234" s="14">
        <f t="shared" si="145"/>
        <v>202.52985528596309</v>
      </c>
      <c r="K234" s="14">
        <f t="shared" si="145"/>
        <v>435.27643696172231</v>
      </c>
      <c r="L234" s="14">
        <f t="shared" si="145"/>
        <v>607.51877729636863</v>
      </c>
      <c r="M234" s="14">
        <f t="shared" si="145"/>
        <v>902.5325471682238</v>
      </c>
      <c r="N234" s="187">
        <f t="shared" si="145"/>
        <v>1128.9829235826437</v>
      </c>
      <c r="O234" s="14">
        <f t="shared" si="145"/>
        <v>1149.9346737938163</v>
      </c>
      <c r="P234" s="14">
        <f t="shared" si="145"/>
        <v>1146.8945103618178</v>
      </c>
      <c r="Q234" s="14">
        <f t="shared" si="145"/>
        <v>1193.2158765923627</v>
      </c>
      <c r="R234" s="14">
        <f t="shared" si="145"/>
        <v>1192.7943573222171</v>
      </c>
      <c r="S234" s="14">
        <f t="shared" si="145"/>
        <v>1204.7291577312717</v>
      </c>
      <c r="T234" s="14">
        <f t="shared" si="145"/>
        <v>1243.543640316957</v>
      </c>
      <c r="U234" s="14">
        <f t="shared" si="145"/>
        <v>1280.6785825358002</v>
      </c>
      <c r="V234" s="14">
        <f t="shared" si="145"/>
        <v>1297.5675174301755</v>
      </c>
      <c r="W234" s="14">
        <f t="shared" si="145"/>
        <v>1334.4510188380539</v>
      </c>
      <c r="X234" s="187">
        <f t="shared" si="145"/>
        <v>1361.0394180047053</v>
      </c>
      <c r="Y234" s="158">
        <f t="shared" si="145"/>
        <v>1397.5019586562535</v>
      </c>
      <c r="Z234" s="158">
        <f t="shared" si="145"/>
        <v>1435.5674116418563</v>
      </c>
      <c r="AA234" s="158">
        <f t="shared" si="145"/>
        <v>1466.3402521515457</v>
      </c>
      <c r="AB234" s="158">
        <f t="shared" si="145"/>
        <v>1469.7312951413869</v>
      </c>
      <c r="AC234" s="158">
        <f t="shared" si="145"/>
        <v>1512.2683434516071</v>
      </c>
      <c r="AD234" s="158">
        <f t="shared" si="145"/>
        <v>1532.1990446924272</v>
      </c>
      <c r="AE234" s="158">
        <f t="shared" si="145"/>
        <v>1563.3239796657167</v>
      </c>
      <c r="AF234" s="158">
        <f t="shared" si="145"/>
        <v>1604.0249016499679</v>
      </c>
      <c r="AG234" s="158">
        <f t="shared" si="145"/>
        <v>1682.9141952768159</v>
      </c>
      <c r="AH234" s="187">
        <f t="shared" si="145"/>
        <v>1747.7734960025141</v>
      </c>
    </row>
    <row r="235" spans="1:34">
      <c r="A235" t="s">
        <v>418</v>
      </c>
      <c r="C235" s="331">
        <f t="shared" ref="C235:AH235" si="146">C214-C195</f>
        <v>0</v>
      </c>
      <c r="D235" s="331">
        <f t="shared" si="146"/>
        <v>63.298560428290102</v>
      </c>
      <c r="E235" s="331">
        <f t="shared" si="146"/>
        <v>68.752328416972432</v>
      </c>
      <c r="F235" s="331">
        <f t="shared" si="146"/>
        <v>68.30268786600368</v>
      </c>
      <c r="G235" s="331">
        <f t="shared" si="146"/>
        <v>128.4307972324541</v>
      </c>
      <c r="H235" s="402">
        <f t="shared" si="146"/>
        <v>0</v>
      </c>
      <c r="I235" s="14">
        <f t="shared" si="146"/>
        <v>59.034162473589504</v>
      </c>
      <c r="J235" s="14">
        <f t="shared" si="146"/>
        <v>106.59483523412587</v>
      </c>
      <c r="K235" s="14">
        <f t="shared" si="146"/>
        <v>229.09305598754395</v>
      </c>
      <c r="L235" s="14">
        <f t="shared" si="146"/>
        <v>319.74693386324429</v>
      </c>
      <c r="M235" s="14">
        <f t="shared" si="146"/>
        <v>475.01736250204567</v>
      </c>
      <c r="N235" s="187">
        <f t="shared" si="146"/>
        <v>594.2017874429223</v>
      </c>
      <c r="O235" s="14">
        <f t="shared" si="146"/>
        <v>605.22902934855392</v>
      </c>
      <c r="P235" s="14">
        <f t="shared" si="146"/>
        <v>603.62894709183524</v>
      </c>
      <c r="Q235" s="14">
        <f t="shared" si="146"/>
        <v>628.00862024275739</v>
      </c>
      <c r="R235" s="14">
        <f t="shared" si="146"/>
        <v>627.7867728886763</v>
      </c>
      <c r="S235" s="14">
        <f t="shared" si="146"/>
        <v>634.0682503498216</v>
      </c>
      <c r="T235" s="14">
        <f t="shared" si="146"/>
        <v>654.49693139236149</v>
      </c>
      <c r="U235" s="14">
        <f t="shared" si="146"/>
        <v>674.04164363187101</v>
      </c>
      <c r="V235" s="14">
        <f t="shared" si="146"/>
        <v>682.93056017094796</v>
      </c>
      <c r="W235" s="14">
        <f t="shared" si="146"/>
        <v>702.34293489096854</v>
      </c>
      <c r="X235" s="187">
        <f t="shared" si="146"/>
        <v>716.336834222486</v>
      </c>
      <c r="Y235" s="158">
        <f t="shared" si="146"/>
        <v>735.52765048253673</v>
      </c>
      <c r="Z235" s="158">
        <f t="shared" si="146"/>
        <v>755.5621048664367</v>
      </c>
      <c r="AA235" s="158">
        <f t="shared" si="146"/>
        <v>771.75834209148536</v>
      </c>
      <c r="AB235" s="158">
        <f t="shared" si="146"/>
        <v>773.54310447552371</v>
      </c>
      <c r="AC235" s="158">
        <f t="shared" si="146"/>
        <v>795.93103103097746</v>
      </c>
      <c r="AD235" s="158">
        <f t="shared" si="146"/>
        <v>806.42087812221655</v>
      </c>
      <c r="AE235" s="158">
        <f t="shared" si="146"/>
        <v>822.80242800301107</v>
      </c>
      <c r="AF235" s="158">
        <f t="shared" si="146"/>
        <v>844.22397199510351</v>
      </c>
      <c r="AG235" s="158">
        <f t="shared" si="146"/>
        <v>885.74466286893585</v>
      </c>
      <c r="AH235" s="187">
        <f t="shared" si="146"/>
        <v>919.88114527246353</v>
      </c>
    </row>
    <row r="236" spans="1:34">
      <c r="A236" t="s">
        <v>419</v>
      </c>
      <c r="C236" s="331">
        <f t="shared" ref="C236:AH236" si="147">C215-C196</f>
        <v>-2.7000000000043656E-4</v>
      </c>
      <c r="D236" s="331">
        <f t="shared" si="147"/>
        <v>56.968388370360799</v>
      </c>
      <c r="E236" s="331">
        <f t="shared" si="147"/>
        <v>61.876757045927377</v>
      </c>
      <c r="F236" s="331">
        <f t="shared" si="147"/>
        <v>61.472057016519898</v>
      </c>
      <c r="G236" s="331">
        <f t="shared" si="147"/>
        <v>115.58734620966044</v>
      </c>
      <c r="H236" s="402">
        <f>H215-H196</f>
        <v>-2.7000000000043656E-4</v>
      </c>
      <c r="I236" s="14">
        <f t="shared" si="147"/>
        <v>53.130443695287113</v>
      </c>
      <c r="J236" s="14">
        <f t="shared" si="147"/>
        <v>95.935020051837228</v>
      </c>
      <c r="K236" s="14">
        <f t="shared" si="147"/>
        <v>206.18338097417836</v>
      </c>
      <c r="L236" s="14">
        <f t="shared" si="147"/>
        <v>287.77184343312456</v>
      </c>
      <c r="M236" s="14">
        <f t="shared" si="147"/>
        <v>427.51518466617813</v>
      </c>
      <c r="N236" s="187">
        <f t="shared" si="147"/>
        <v>534.78113613972153</v>
      </c>
      <c r="O236" s="14">
        <f t="shared" si="147"/>
        <v>544.70564444526246</v>
      </c>
      <c r="P236" s="14">
        <f t="shared" si="147"/>
        <v>543.26556326998275</v>
      </c>
      <c r="Q236" s="14">
        <f t="shared" si="147"/>
        <v>565.20725634960547</v>
      </c>
      <c r="R236" s="14">
        <f t="shared" si="147"/>
        <v>565.00758443354084</v>
      </c>
      <c r="S236" s="14">
        <f t="shared" si="147"/>
        <v>570.66090738145022</v>
      </c>
      <c r="T236" s="14">
        <f t="shared" si="147"/>
        <v>589.04670892459535</v>
      </c>
      <c r="U236" s="14">
        <f t="shared" si="147"/>
        <v>606.63693890392949</v>
      </c>
      <c r="V236" s="14">
        <f t="shared" si="147"/>
        <v>614.63695725922764</v>
      </c>
      <c r="W236" s="14">
        <f t="shared" si="147"/>
        <v>632.10808394708533</v>
      </c>
      <c r="X236" s="187">
        <f t="shared" si="147"/>
        <v>644.70258378221956</v>
      </c>
      <c r="Y236" s="158">
        <f t="shared" si="147"/>
        <v>661.97430817371685</v>
      </c>
      <c r="Z236" s="158">
        <f t="shared" si="147"/>
        <v>680.00530677541951</v>
      </c>
      <c r="AA236" s="158">
        <f t="shared" si="147"/>
        <v>694.5819100600603</v>
      </c>
      <c r="AB236" s="158">
        <f t="shared" si="147"/>
        <v>696.18819066586332</v>
      </c>
      <c r="AC236" s="158">
        <f t="shared" si="147"/>
        <v>716.3373124206297</v>
      </c>
      <c r="AD236" s="158">
        <f t="shared" si="147"/>
        <v>725.7781665702106</v>
      </c>
      <c r="AE236" s="158">
        <f t="shared" si="147"/>
        <v>740.52155166270563</v>
      </c>
      <c r="AF236" s="158">
        <f t="shared" si="147"/>
        <v>759.80092965486426</v>
      </c>
      <c r="AG236" s="158">
        <f t="shared" si="147"/>
        <v>797.16953240788007</v>
      </c>
      <c r="AH236" s="187">
        <f t="shared" si="147"/>
        <v>827.89235073005034</v>
      </c>
    </row>
    <row r="237" spans="1:34">
      <c r="A237" t="s">
        <v>420</v>
      </c>
      <c r="C237" s="331">
        <f t="shared" ref="C237:AH237" si="148">C216-C197</f>
        <v>0</v>
      </c>
      <c r="D237" s="331">
        <f t="shared" si="148"/>
        <v>-319.60252619627181</v>
      </c>
      <c r="E237" s="331">
        <f t="shared" si="148"/>
        <v>-305.70936637705927</v>
      </c>
      <c r="F237" s="331">
        <f t="shared" si="148"/>
        <v>-271.54311972070263</v>
      </c>
      <c r="G237" s="331">
        <f t="shared" si="148"/>
        <v>-419.84448131176396</v>
      </c>
      <c r="H237" s="402">
        <f t="shared" si="148"/>
        <v>0</v>
      </c>
      <c r="I237" s="14">
        <f t="shared" si="148"/>
        <v>-327.01075974156083</v>
      </c>
      <c r="J237" s="14">
        <f t="shared" si="148"/>
        <v>-265.13958273868093</v>
      </c>
      <c r="K237" s="14">
        <f t="shared" si="148"/>
        <v>-782.44793034190434</v>
      </c>
      <c r="L237" s="14">
        <f t="shared" si="148"/>
        <v>-248.57417214238012</v>
      </c>
      <c r="M237" s="14">
        <f t="shared" si="148"/>
        <v>-535.71616876558983</v>
      </c>
      <c r="N237" s="187">
        <f t="shared" si="148"/>
        <v>0</v>
      </c>
      <c r="O237" s="14">
        <f t="shared" si="148"/>
        <v>5.8633829945413254</v>
      </c>
      <c r="P237" s="14">
        <f t="shared" si="148"/>
        <v>4.3851006217207669</v>
      </c>
      <c r="Q237" s="14">
        <f t="shared" si="148"/>
        <v>18.905879364673183</v>
      </c>
      <c r="R237" s="14">
        <f t="shared" si="148"/>
        <v>22.57954363231579</v>
      </c>
      <c r="S237" s="14">
        <f t="shared" si="148"/>
        <v>18.522977963979429</v>
      </c>
      <c r="T237" s="14">
        <f t="shared" si="148"/>
        <v>27.025298449224238</v>
      </c>
      <c r="U237" s="14">
        <f t="shared" si="148"/>
        <v>2.5856870053098646</v>
      </c>
      <c r="V237" s="14">
        <f t="shared" si="148"/>
        <v>-3.4682641284209694</v>
      </c>
      <c r="W237" s="14">
        <f t="shared" si="148"/>
        <v>0.89103795521987195</v>
      </c>
      <c r="X237" s="187">
        <f t="shared" si="148"/>
        <v>-1.3783086424296016</v>
      </c>
      <c r="Y237" s="158">
        <f t="shared" si="148"/>
        <v>-1.3327940912279246</v>
      </c>
      <c r="Z237" s="158">
        <f t="shared" si="148"/>
        <v>-5.2538035835302708</v>
      </c>
      <c r="AA237" s="158">
        <f t="shared" si="148"/>
        <v>-6.2273186239588085</v>
      </c>
      <c r="AB237" s="158">
        <f t="shared" si="148"/>
        <v>-19.021776542204634</v>
      </c>
      <c r="AC237" s="158">
        <f t="shared" si="148"/>
        <v>-16.077246547126833</v>
      </c>
      <c r="AD237" s="158">
        <f t="shared" si="148"/>
        <v>-22.894460158347329</v>
      </c>
      <c r="AE237" s="158">
        <f t="shared" si="148"/>
        <v>-26.342052612895941</v>
      </c>
      <c r="AF237" s="158">
        <f t="shared" si="148"/>
        <v>-26.075976775546906</v>
      </c>
      <c r="AG237" s="158">
        <f t="shared" si="148"/>
        <v>-9.7860844197928145</v>
      </c>
      <c r="AH237" s="187">
        <f t="shared" si="148"/>
        <v>-1.5270240019842731</v>
      </c>
    </row>
    <row r="238" spans="1:34">
      <c r="A238" t="s">
        <v>421</v>
      </c>
      <c r="C238" s="331">
        <f t="shared" ref="C238:AH238" si="149">C217-C198</f>
        <v>0</v>
      </c>
      <c r="D238" s="331">
        <f t="shared" si="149"/>
        <v>-168.21185589277457</v>
      </c>
      <c r="E238" s="331">
        <f t="shared" si="149"/>
        <v>-160.89966651424174</v>
      </c>
      <c r="F238" s="331">
        <f t="shared" si="149"/>
        <v>-142.9174314319489</v>
      </c>
      <c r="G238" s="331">
        <f t="shared" si="149"/>
        <v>-220.97077963777065</v>
      </c>
      <c r="H238" s="402">
        <f t="shared" si="149"/>
        <v>0</v>
      </c>
      <c r="I238" s="14">
        <f t="shared" si="149"/>
        <v>-172.11092617976851</v>
      </c>
      <c r="J238" s="14">
        <f t="shared" si="149"/>
        <v>-139.54714880983215</v>
      </c>
      <c r="K238" s="14">
        <f t="shared" si="149"/>
        <v>-411.81470017994957</v>
      </c>
      <c r="L238" s="14">
        <f t="shared" si="149"/>
        <v>-130.82851165388411</v>
      </c>
      <c r="M238" s="14">
        <f t="shared" si="149"/>
        <v>-281.95587829767874</v>
      </c>
      <c r="N238" s="187">
        <f t="shared" si="149"/>
        <v>0</v>
      </c>
      <c r="O238" s="14">
        <f t="shared" si="149"/>
        <v>3.0859910497586043</v>
      </c>
      <c r="P238" s="14">
        <f t="shared" si="149"/>
        <v>2.3079476956424969</v>
      </c>
      <c r="Q238" s="14">
        <f t="shared" si="149"/>
        <v>9.9504628235122254</v>
      </c>
      <c r="R238" s="14">
        <f t="shared" si="149"/>
        <v>11.883970332797844</v>
      </c>
      <c r="S238" s="14">
        <f t="shared" si="149"/>
        <v>9.7489357705155726</v>
      </c>
      <c r="T238" s="14">
        <f t="shared" si="149"/>
        <v>14.223841289065376</v>
      </c>
      <c r="U238" s="14">
        <f t="shared" si="149"/>
        <v>1.3608878975315974</v>
      </c>
      <c r="V238" s="14">
        <f t="shared" si="149"/>
        <v>-1.8254021728531598</v>
      </c>
      <c r="W238" s="14">
        <f t="shared" si="149"/>
        <v>0.4689673448525582</v>
      </c>
      <c r="X238" s="187">
        <f t="shared" si="149"/>
        <v>-0.72542560127874367</v>
      </c>
      <c r="Y238" s="158">
        <f t="shared" si="149"/>
        <v>-0.70147057433041482</v>
      </c>
      <c r="Z238" s="158">
        <f t="shared" si="149"/>
        <v>-2.7651597808053339</v>
      </c>
      <c r="AA238" s="158">
        <f t="shared" si="149"/>
        <v>-3.2775361178729554</v>
      </c>
      <c r="AB238" s="158">
        <f t="shared" si="149"/>
        <v>-10.011461338002391</v>
      </c>
      <c r="AC238" s="158">
        <f t="shared" si="149"/>
        <v>-8.4617087090141467</v>
      </c>
      <c r="AD238" s="158">
        <f t="shared" si="149"/>
        <v>-12.049715872814431</v>
      </c>
      <c r="AE238" s="158">
        <f t="shared" si="149"/>
        <v>-13.864238217313641</v>
      </c>
      <c r="AF238" s="158">
        <f t="shared" si="149"/>
        <v>-13.724198302919376</v>
      </c>
      <c r="AG238" s="158">
        <f t="shared" si="149"/>
        <v>-5.150570747259394</v>
      </c>
      <c r="AH238" s="187">
        <f t="shared" si="149"/>
        <v>-0.80369684314950973</v>
      </c>
    </row>
    <row r="239" spans="1:34">
      <c r="A239" t="s">
        <v>422</v>
      </c>
      <c r="C239" s="331">
        <f t="shared" ref="C239:AH239" si="150">C218-C199</f>
        <v>0</v>
      </c>
      <c r="D239" s="331">
        <f t="shared" si="150"/>
        <v>-151.39067030349702</v>
      </c>
      <c r="E239" s="331">
        <f t="shared" si="150"/>
        <v>-144.80969986281752</v>
      </c>
      <c r="F239" s="331">
        <f t="shared" si="150"/>
        <v>-128.62568828875396</v>
      </c>
      <c r="G239" s="331">
        <f t="shared" si="150"/>
        <v>-198.87370167399331</v>
      </c>
      <c r="H239" s="402">
        <f t="shared" si="150"/>
        <v>0</v>
      </c>
      <c r="I239" s="14">
        <f t="shared" si="150"/>
        <v>-154.89983356179187</v>
      </c>
      <c r="J239" s="14">
        <f t="shared" si="150"/>
        <v>-125.592433928849</v>
      </c>
      <c r="K239" s="14">
        <f t="shared" si="150"/>
        <v>-370.63323016195454</v>
      </c>
      <c r="L239" s="14">
        <f t="shared" si="150"/>
        <v>-117.74566048849556</v>
      </c>
      <c r="M239" s="14">
        <f t="shared" si="150"/>
        <v>-253.76029046791086</v>
      </c>
      <c r="N239" s="187">
        <f t="shared" si="150"/>
        <v>0</v>
      </c>
      <c r="O239" s="14">
        <f t="shared" si="150"/>
        <v>2.7773919447826074</v>
      </c>
      <c r="P239" s="14">
        <f t="shared" si="150"/>
        <v>2.0771529260781563</v>
      </c>
      <c r="Q239" s="14">
        <f t="shared" si="150"/>
        <v>8.9554165411609574</v>
      </c>
      <c r="R239" s="14">
        <f t="shared" si="150"/>
        <v>10.695573299517946</v>
      </c>
      <c r="S239" s="14">
        <f t="shared" si="150"/>
        <v>8.7740421934638562</v>
      </c>
      <c r="T239" s="14">
        <f t="shared" si="150"/>
        <v>12.801457160158748</v>
      </c>
      <c r="U239" s="14">
        <f t="shared" si="150"/>
        <v>1.2247991077783809</v>
      </c>
      <c r="V239" s="14">
        <f t="shared" si="150"/>
        <v>-1.6428619555678097</v>
      </c>
      <c r="W239" s="14">
        <f t="shared" si="150"/>
        <v>0.42207061036731375</v>
      </c>
      <c r="X239" s="187">
        <f t="shared" si="150"/>
        <v>-0.65288304115085793</v>
      </c>
      <c r="Y239" s="158">
        <f t="shared" si="150"/>
        <v>-0.63132351689739608</v>
      </c>
      <c r="Z239" s="158">
        <f t="shared" si="150"/>
        <v>-2.4886438027248232</v>
      </c>
      <c r="AA239" s="158">
        <f t="shared" si="150"/>
        <v>-2.9497825060857394</v>
      </c>
      <c r="AB239" s="158">
        <f t="shared" si="150"/>
        <v>-9.010315204202243</v>
      </c>
      <c r="AC239" s="158">
        <f t="shared" si="150"/>
        <v>-7.6155378381126866</v>
      </c>
      <c r="AD239" s="158">
        <f t="shared" si="150"/>
        <v>-10.844744285532897</v>
      </c>
      <c r="AE239" s="158">
        <f t="shared" si="150"/>
        <v>-12.4778143955823</v>
      </c>
      <c r="AF239" s="158">
        <f t="shared" si="150"/>
        <v>-12.351778472627529</v>
      </c>
      <c r="AG239" s="158">
        <f t="shared" si="150"/>
        <v>-4.6355136725335342</v>
      </c>
      <c r="AH239" s="187">
        <f t="shared" si="150"/>
        <v>-0.72332715883464971</v>
      </c>
    </row>
    <row r="240" spans="1:34">
      <c r="A240" t="s">
        <v>394</v>
      </c>
      <c r="C240" s="331">
        <f>C219-C200</f>
        <v>6.2700000000004366</v>
      </c>
      <c r="D240" s="331">
        <f t="shared" ref="D240:AH240" si="151">D219-D200+D249+D252</f>
        <v>173.561513265955</v>
      </c>
      <c r="E240" s="331">
        <f t="shared" si="151"/>
        <v>139.0772759305928</v>
      </c>
      <c r="F240" s="331">
        <f t="shared" si="151"/>
        <v>118.63695183065101</v>
      </c>
      <c r="G240" s="331">
        <f t="shared" si="151"/>
        <v>157.94148989130917</v>
      </c>
      <c r="H240" s="402">
        <f t="shared" si="151"/>
        <v>-0.27170000000114669</v>
      </c>
      <c r="I240" s="14">
        <f t="shared" si="151"/>
        <v>195.74621473288244</v>
      </c>
      <c r="J240" s="14">
        <f t="shared" si="151"/>
        <v>95.636819287403341</v>
      </c>
      <c r="K240" s="14">
        <f t="shared" si="151"/>
        <v>365.21009458368644</v>
      </c>
      <c r="L240" s="14">
        <f t="shared" si="151"/>
        <v>-157.80890588142574</v>
      </c>
      <c r="M240" s="14">
        <f t="shared" si="151"/>
        <v>-105.31531800854646</v>
      </c>
      <c r="N240" s="187">
        <f t="shared" si="151"/>
        <v>-661.38156403530957</v>
      </c>
      <c r="O240" s="14">
        <f t="shared" si="151"/>
        <v>-680.2373693202735</v>
      </c>
      <c r="P240" s="14">
        <f t="shared" si="151"/>
        <v>-680.1428231758091</v>
      </c>
      <c r="Q240" s="14">
        <f t="shared" si="151"/>
        <v>-720.02456951564272</v>
      </c>
      <c r="R240" s="14">
        <f t="shared" si="151"/>
        <v>-725.96590836735231</v>
      </c>
      <c r="S240" s="14">
        <f t="shared" si="151"/>
        <v>-731.62228170395429</v>
      </c>
      <c r="T240" s="14">
        <f t="shared" si="151"/>
        <v>-762.5144732007866</v>
      </c>
      <c r="U240" s="14">
        <f t="shared" si="151"/>
        <v>-768.20716959453966</v>
      </c>
      <c r="V240" s="14">
        <f t="shared" si="151"/>
        <v>-774.85520357501991</v>
      </c>
      <c r="W240" s="14">
        <f t="shared" si="151"/>
        <v>-801.29438007215322</v>
      </c>
      <c r="X240" s="187">
        <f t="shared" si="151"/>
        <v>-817.05659273015408</v>
      </c>
      <c r="Y240" s="158">
        <f t="shared" si="151"/>
        <v>-839.87789519887701</v>
      </c>
      <c r="Z240" s="158">
        <f t="shared" si="151"/>
        <v>-860.65509155155632</v>
      </c>
      <c r="AA240" s="158">
        <f t="shared" si="151"/>
        <v>-879.68101831036802</v>
      </c>
      <c r="AB240" s="158">
        <f t="shared" si="151"/>
        <v>-873.71857476686091</v>
      </c>
      <c r="AC240" s="158">
        <f t="shared" si="151"/>
        <v>-902.51391316178524</v>
      </c>
      <c r="AD240" s="158">
        <f t="shared" si="151"/>
        <v>-910.76023420346246</v>
      </c>
      <c r="AE240" s="158">
        <f t="shared" si="151"/>
        <v>-927.85495195809926</v>
      </c>
      <c r="AF240" s="158">
        <f t="shared" si="151"/>
        <v>-953.4469701636408</v>
      </c>
      <c r="AG240" s="158">
        <f t="shared" si="151"/>
        <v>-1013.7482225552376</v>
      </c>
      <c r="AH240" s="187">
        <f t="shared" si="151"/>
        <v>-1059.2559940288229</v>
      </c>
    </row>
    <row r="241" spans="1:34">
      <c r="A241" t="s">
        <v>423</v>
      </c>
      <c r="C241" s="331">
        <f>C220-C201</f>
        <v>3.3000000000001819</v>
      </c>
      <c r="D241" s="331">
        <f t="shared" ref="D241:AH241" si="152">D220-D201+D250+D253</f>
        <v>91.348164876818373</v>
      </c>
      <c r="E241" s="331">
        <f t="shared" si="152"/>
        <v>73.198566279258557</v>
      </c>
      <c r="F241" s="331">
        <f t="shared" si="152"/>
        <v>62.440500963500199</v>
      </c>
      <c r="G241" s="331">
        <f t="shared" si="152"/>
        <v>83.127099942795212</v>
      </c>
      <c r="H241" s="402">
        <f t="shared" si="152"/>
        <v>-0.1430000000009386</v>
      </c>
      <c r="I241" s="14">
        <f t="shared" si="152"/>
        <v>103.0243235436219</v>
      </c>
      <c r="J241" s="14">
        <f t="shared" si="152"/>
        <v>50.335168046001854</v>
      </c>
      <c r="K241" s="14">
        <f t="shared" si="152"/>
        <v>192.21583925457253</v>
      </c>
      <c r="L241" s="14">
        <f t="shared" si="152"/>
        <v>-83.057318884961205</v>
      </c>
      <c r="M241" s="14">
        <f t="shared" si="152"/>
        <v>-55.429114741340527</v>
      </c>
      <c r="N241" s="187">
        <f t="shared" si="152"/>
        <v>-348.09556001858346</v>
      </c>
      <c r="O241" s="14">
        <f t="shared" si="152"/>
        <v>-358.01966806330165</v>
      </c>
      <c r="P241" s="14">
        <f t="shared" si="152"/>
        <v>-357.96990693463613</v>
      </c>
      <c r="Q241" s="14">
        <f t="shared" si="152"/>
        <v>-378.96029974507474</v>
      </c>
      <c r="R241" s="14">
        <f t="shared" si="152"/>
        <v>-382.08732019334366</v>
      </c>
      <c r="S241" s="14">
        <f t="shared" si="152"/>
        <v>-385.0643587915547</v>
      </c>
      <c r="T241" s="14">
        <f t="shared" si="152"/>
        <v>-401.32340694778213</v>
      </c>
      <c r="U241" s="14">
        <f t="shared" si="152"/>
        <v>-404.31956294449446</v>
      </c>
      <c r="V241" s="14">
        <f t="shared" si="152"/>
        <v>-407.81852819737924</v>
      </c>
      <c r="W241" s="14">
        <f t="shared" si="152"/>
        <v>-421.73388424850236</v>
      </c>
      <c r="X241" s="187">
        <f t="shared" si="152"/>
        <v>-430.0297856474499</v>
      </c>
      <c r="Y241" s="158">
        <f t="shared" si="152"/>
        <v>-442.04099747309283</v>
      </c>
      <c r="Z241" s="158">
        <f t="shared" si="152"/>
        <v>-452.97636397450333</v>
      </c>
      <c r="AA241" s="158">
        <f t="shared" si="152"/>
        <v>-462.99000963703566</v>
      </c>
      <c r="AB241" s="158">
        <f t="shared" si="152"/>
        <v>-459.85188145624215</v>
      </c>
      <c r="AC241" s="158">
        <f t="shared" si="152"/>
        <v>-475.0073227167295</v>
      </c>
      <c r="AD241" s="158">
        <f t="shared" si="152"/>
        <v>-479.34749168603412</v>
      </c>
      <c r="AE241" s="158">
        <f t="shared" si="152"/>
        <v>-488.34471155689334</v>
      </c>
      <c r="AF241" s="158">
        <f t="shared" si="152"/>
        <v>-501.81419482296951</v>
      </c>
      <c r="AG241" s="158">
        <f t="shared" si="152"/>
        <v>-533.55169608170399</v>
      </c>
      <c r="AH241" s="187">
        <f t="shared" si="152"/>
        <v>-557.50315475201205</v>
      </c>
    </row>
    <row r="242" spans="1:34">
      <c r="A242" t="s">
        <v>424</v>
      </c>
      <c r="C242" s="331">
        <f>C221-C202</f>
        <v>2.9700000000002547</v>
      </c>
      <c r="D242" s="331">
        <f t="shared" ref="D242:AH242" si="153">D221-D202+D251+D254</f>
        <v>82.213348389136627</v>
      </c>
      <c r="E242" s="331">
        <f t="shared" si="153"/>
        <v>65.878709651333338</v>
      </c>
      <c r="F242" s="331">
        <f t="shared" si="153"/>
        <v>56.196450867149906</v>
      </c>
      <c r="G242" s="331">
        <f t="shared" si="153"/>
        <v>74.814389948514872</v>
      </c>
      <c r="H242" s="402">
        <f t="shared" si="153"/>
        <v>-0.12870000000111759</v>
      </c>
      <c r="I242" s="14">
        <f t="shared" si="153"/>
        <v>92.721891189259622</v>
      </c>
      <c r="J242" s="14">
        <f t="shared" si="153"/>
        <v>45.301651241401487</v>
      </c>
      <c r="K242" s="14">
        <f t="shared" si="153"/>
        <v>172.99425532911482</v>
      </c>
      <c r="L242" s="14">
        <f t="shared" si="153"/>
        <v>-74.751586996464539</v>
      </c>
      <c r="M242" s="14">
        <f t="shared" si="153"/>
        <v>-49.886203267206838</v>
      </c>
      <c r="N242" s="187">
        <f t="shared" si="153"/>
        <v>-313.2860040167252</v>
      </c>
      <c r="O242" s="14">
        <f t="shared" si="153"/>
        <v>-322.21770125697094</v>
      </c>
      <c r="P242" s="14">
        <f t="shared" si="153"/>
        <v>-322.17291624117206</v>
      </c>
      <c r="Q242" s="14">
        <f t="shared" si="153"/>
        <v>-341.06426977056799</v>
      </c>
      <c r="R242" s="14">
        <f t="shared" si="153"/>
        <v>-343.87858817400956</v>
      </c>
      <c r="S242" s="14">
        <f t="shared" si="153"/>
        <v>-346.55792291239959</v>
      </c>
      <c r="T242" s="14">
        <f t="shared" si="153"/>
        <v>-361.19106625300446</v>
      </c>
      <c r="U242" s="14">
        <f t="shared" si="153"/>
        <v>-363.8876066500452</v>
      </c>
      <c r="V242" s="14">
        <f t="shared" si="153"/>
        <v>-367.03667537764068</v>
      </c>
      <c r="W242" s="14">
        <f t="shared" si="153"/>
        <v>-379.56049582365085</v>
      </c>
      <c r="X242" s="187">
        <f t="shared" si="153"/>
        <v>-387.02680708270418</v>
      </c>
      <c r="Y242" s="158">
        <f t="shared" si="153"/>
        <v>-397.83689772578327</v>
      </c>
      <c r="Z242" s="158">
        <f t="shared" si="153"/>
        <v>-407.678727577053</v>
      </c>
      <c r="AA242" s="158">
        <f t="shared" si="153"/>
        <v>-416.69100867333145</v>
      </c>
      <c r="AB242" s="158">
        <f t="shared" si="153"/>
        <v>-413.86669331061876</v>
      </c>
      <c r="AC242" s="158">
        <f t="shared" si="153"/>
        <v>-427.50659044505664</v>
      </c>
      <c r="AD242" s="158">
        <f t="shared" si="153"/>
        <v>-431.41274251743016</v>
      </c>
      <c r="AE242" s="158">
        <f t="shared" si="153"/>
        <v>-439.51024040120501</v>
      </c>
      <c r="AF242" s="158">
        <f t="shared" si="153"/>
        <v>-451.63277534067129</v>
      </c>
      <c r="AG242" s="158">
        <f t="shared" si="153"/>
        <v>-480.19652647353359</v>
      </c>
      <c r="AH242" s="187">
        <f t="shared" si="153"/>
        <v>-501.75283927681085</v>
      </c>
    </row>
    <row r="243" spans="1:34" s="1" customFormat="1">
      <c r="A243" s="1" t="s">
        <v>405</v>
      </c>
      <c r="B243" s="13"/>
      <c r="C243" s="341">
        <f>C222-C203</f>
        <v>6.2697299999999814</v>
      </c>
      <c r="D243" s="341">
        <f t="shared" ref="D243:AH243" si="154">D222-D203+D249+D252</f>
        <v>-25.774064131666819</v>
      </c>
      <c r="E243" s="341">
        <f t="shared" si="154"/>
        <v>-36.003004983567735</v>
      </c>
      <c r="F243" s="341">
        <f t="shared" si="154"/>
        <v>-23.131423007527701</v>
      </c>
      <c r="G243" s="341">
        <f t="shared" si="154"/>
        <v>-17.884847978339167</v>
      </c>
      <c r="H243" s="405">
        <f t="shared" si="154"/>
        <v>-0.27197000000160187</v>
      </c>
      <c r="I243" s="15">
        <f t="shared" si="154"/>
        <v>-19.099938839801325</v>
      </c>
      <c r="J243" s="15">
        <f t="shared" si="154"/>
        <v>33.027091834685052</v>
      </c>
      <c r="K243" s="15">
        <f t="shared" si="154"/>
        <v>18.038601203505095</v>
      </c>
      <c r="L243" s="15">
        <f t="shared" si="154"/>
        <v>201.1356992725614</v>
      </c>
      <c r="M243" s="15">
        <f t="shared" si="154"/>
        <v>261.5010603940882</v>
      </c>
      <c r="N243" s="190">
        <f t="shared" si="154"/>
        <v>467.60135954733414</v>
      </c>
      <c r="O243" s="15">
        <f t="shared" si="154"/>
        <v>475.56068746808342</v>
      </c>
      <c r="P243" s="15">
        <f t="shared" si="154"/>
        <v>471.1367878077308</v>
      </c>
      <c r="Q243" s="15">
        <f t="shared" si="154"/>
        <v>492.09718644139321</v>
      </c>
      <c r="R243" s="15">
        <f t="shared" si="154"/>
        <v>489.40799258717925</v>
      </c>
      <c r="S243" s="15">
        <f t="shared" si="154"/>
        <v>491.62985399129684</v>
      </c>
      <c r="T243" s="15">
        <f t="shared" si="154"/>
        <v>508.05446556539391</v>
      </c>
      <c r="U243" s="15">
        <f t="shared" si="154"/>
        <v>515.05709994657082</v>
      </c>
      <c r="V243" s="15">
        <f t="shared" si="154"/>
        <v>519.24404972673437</v>
      </c>
      <c r="W243" s="15">
        <f t="shared" si="154"/>
        <v>534.04767672112212</v>
      </c>
      <c r="X243" s="190">
        <f t="shared" si="154"/>
        <v>542.60451663212007</v>
      </c>
      <c r="Y243" s="130">
        <f t="shared" si="154"/>
        <v>556.29126936614739</v>
      </c>
      <c r="Z243" s="130">
        <f t="shared" si="154"/>
        <v>569.65851650676996</v>
      </c>
      <c r="AA243" s="130">
        <f t="shared" si="154"/>
        <v>580.43191521721747</v>
      </c>
      <c r="AB243" s="130">
        <f t="shared" si="154"/>
        <v>576.99094383232296</v>
      </c>
      <c r="AC243" s="130">
        <f t="shared" si="154"/>
        <v>593.67718374269316</v>
      </c>
      <c r="AD243" s="130">
        <f t="shared" si="154"/>
        <v>598.54435033061782</v>
      </c>
      <c r="AE243" s="130">
        <f t="shared" si="154"/>
        <v>609.12697509472127</v>
      </c>
      <c r="AF243" s="130">
        <f t="shared" si="154"/>
        <v>624.50195471078041</v>
      </c>
      <c r="AG243" s="130">
        <f t="shared" si="154"/>
        <v>659.37988830178438</v>
      </c>
      <c r="AH243" s="190">
        <f t="shared" si="154"/>
        <v>686.99047797170715</v>
      </c>
    </row>
    <row r="244" spans="1:34">
      <c r="A244" t="s">
        <v>445</v>
      </c>
      <c r="C244" s="331"/>
      <c r="D244" s="331">
        <f>D231+D234</f>
        <v>120.2669487986509</v>
      </c>
      <c r="E244" s="331">
        <f t="shared" ref="E244:N244" si="155">E231+E234</f>
        <v>130.62908546289987</v>
      </c>
      <c r="F244" s="331">
        <f t="shared" si="155"/>
        <v>129.77474488252369</v>
      </c>
      <c r="G244" s="331">
        <f t="shared" si="155"/>
        <v>244.01814344211448</v>
      </c>
      <c r="H244" s="402">
        <f t="shared" si="155"/>
        <v>-2.7000000000043656E-4</v>
      </c>
      <c r="I244" s="14">
        <f t="shared" si="155"/>
        <v>112.16460616887662</v>
      </c>
      <c r="J244" s="14">
        <f t="shared" si="155"/>
        <v>202.52985528596309</v>
      </c>
      <c r="K244" s="14">
        <f t="shared" si="155"/>
        <v>435.27643696172231</v>
      </c>
      <c r="L244" s="14">
        <f t="shared" si="155"/>
        <v>607.51877729636863</v>
      </c>
      <c r="M244" s="14">
        <f t="shared" si="155"/>
        <v>902.5325471682238</v>
      </c>
      <c r="N244" s="187">
        <f t="shared" si="155"/>
        <v>1128.9829235826437</v>
      </c>
      <c r="O244" s="14">
        <f>O231+O234</f>
        <v>1149.9346737938163</v>
      </c>
      <c r="P244" s="14">
        <f t="shared" ref="P244:AH244" si="156">P231+P234</f>
        <v>1146.8945103618178</v>
      </c>
      <c r="Q244" s="14">
        <f t="shared" si="156"/>
        <v>1193.2158765923627</v>
      </c>
      <c r="R244" s="14">
        <f t="shared" si="156"/>
        <v>1192.7943573222171</v>
      </c>
      <c r="S244" s="14">
        <f t="shared" si="156"/>
        <v>1204.7291577312717</v>
      </c>
      <c r="T244" s="14">
        <f t="shared" si="156"/>
        <v>1243.543640316957</v>
      </c>
      <c r="U244" s="14">
        <f t="shared" si="156"/>
        <v>1280.6785825358002</v>
      </c>
      <c r="V244" s="14">
        <f t="shared" si="156"/>
        <v>1297.5675174301755</v>
      </c>
      <c r="W244" s="14">
        <f t="shared" si="156"/>
        <v>1334.4510188380539</v>
      </c>
      <c r="X244" s="187">
        <f t="shared" si="156"/>
        <v>1361.0394180047053</v>
      </c>
      <c r="Y244" s="158">
        <f t="shared" si="156"/>
        <v>1397.5019586562535</v>
      </c>
      <c r="Z244" s="158">
        <f t="shared" si="156"/>
        <v>1435.5674116418563</v>
      </c>
      <c r="AA244" s="158">
        <f t="shared" si="156"/>
        <v>1466.3402521515457</v>
      </c>
      <c r="AB244" s="158">
        <f t="shared" si="156"/>
        <v>1469.7312951413869</v>
      </c>
      <c r="AC244" s="158">
        <f t="shared" si="156"/>
        <v>1512.2683434516071</v>
      </c>
      <c r="AD244" s="158">
        <f t="shared" si="156"/>
        <v>1532.1990446924272</v>
      </c>
      <c r="AE244" s="158">
        <f t="shared" si="156"/>
        <v>1563.3239796657167</v>
      </c>
      <c r="AF244" s="158">
        <f t="shared" si="156"/>
        <v>1604.0249016499679</v>
      </c>
      <c r="AG244" s="158">
        <f t="shared" si="156"/>
        <v>1682.9141952768159</v>
      </c>
      <c r="AH244" s="187">
        <f t="shared" si="156"/>
        <v>1747.7734960025141</v>
      </c>
    </row>
    <row r="245" spans="1:34">
      <c r="A245" t="s">
        <v>446</v>
      </c>
      <c r="D245" s="331">
        <f>D231+D234+D237</f>
        <v>-199.33557739762091</v>
      </c>
      <c r="E245" s="331">
        <f t="shared" ref="E245:N245" si="157">E231+E234+E237</f>
        <v>-175.0802809141594</v>
      </c>
      <c r="F245" s="331">
        <f t="shared" si="157"/>
        <v>-141.76837483817894</v>
      </c>
      <c r="G245" s="331">
        <f t="shared" si="157"/>
        <v>-175.82633786964948</v>
      </c>
      <c r="H245" s="402">
        <f t="shared" si="157"/>
        <v>-2.7000000000043656E-4</v>
      </c>
      <c r="I245" s="14">
        <f t="shared" si="157"/>
        <v>-214.84615357268422</v>
      </c>
      <c r="J245" s="14">
        <f t="shared" si="157"/>
        <v>-62.609727452717834</v>
      </c>
      <c r="K245" s="14">
        <f t="shared" si="157"/>
        <v>-347.17149338018203</v>
      </c>
      <c r="L245" s="14">
        <f t="shared" si="157"/>
        <v>358.9446051539885</v>
      </c>
      <c r="M245" s="14">
        <f t="shared" si="157"/>
        <v>366.81637840263397</v>
      </c>
      <c r="N245" s="187">
        <f t="shared" si="157"/>
        <v>1128.9829235826437</v>
      </c>
      <c r="O245" s="14">
        <f>O231+O234+O237</f>
        <v>1155.7980567883576</v>
      </c>
      <c r="P245" s="14">
        <f t="shared" ref="P245:AH245" si="158">P231+P234+P237</f>
        <v>1151.2796109835385</v>
      </c>
      <c r="Q245" s="14">
        <f t="shared" si="158"/>
        <v>1212.1217559570359</v>
      </c>
      <c r="R245" s="14">
        <f t="shared" si="158"/>
        <v>1215.3739009545329</v>
      </c>
      <c r="S245" s="14">
        <f t="shared" si="158"/>
        <v>1223.2521356952511</v>
      </c>
      <c r="T245" s="14">
        <f t="shared" si="158"/>
        <v>1270.5689387661812</v>
      </c>
      <c r="U245" s="14">
        <f t="shared" si="158"/>
        <v>1283.26426954111</v>
      </c>
      <c r="V245" s="14">
        <f t="shared" si="158"/>
        <v>1294.0992533017545</v>
      </c>
      <c r="W245" s="14">
        <f t="shared" si="158"/>
        <v>1335.3420567932737</v>
      </c>
      <c r="X245" s="187">
        <f t="shared" si="158"/>
        <v>1359.6611093622757</v>
      </c>
      <c r="Y245" s="158">
        <f t="shared" si="158"/>
        <v>1396.1691645650255</v>
      </c>
      <c r="Z245" s="158">
        <f t="shared" si="158"/>
        <v>1430.3136080583261</v>
      </c>
      <c r="AA245" s="158">
        <f t="shared" si="158"/>
        <v>1460.1129335275868</v>
      </c>
      <c r="AB245" s="158">
        <f t="shared" si="158"/>
        <v>1450.7095185991823</v>
      </c>
      <c r="AC245" s="158">
        <f t="shared" si="158"/>
        <v>1496.1910969044802</v>
      </c>
      <c r="AD245" s="158">
        <f t="shared" si="158"/>
        <v>1509.3045845340798</v>
      </c>
      <c r="AE245" s="158">
        <f t="shared" si="158"/>
        <v>1536.9819270528208</v>
      </c>
      <c r="AF245" s="158">
        <f t="shared" si="158"/>
        <v>1577.948924874421</v>
      </c>
      <c r="AG245" s="158">
        <f t="shared" si="158"/>
        <v>1673.1281108570231</v>
      </c>
      <c r="AH245" s="187">
        <f t="shared" si="158"/>
        <v>1746.2464720005298</v>
      </c>
    </row>
    <row r="246" spans="1:34" s="1" customFormat="1">
      <c r="A246" s="1" t="s">
        <v>449</v>
      </c>
      <c r="B246" s="13"/>
      <c r="C246" s="328"/>
      <c r="D246" s="341">
        <f>D243</f>
        <v>-25.774064131666819</v>
      </c>
      <c r="E246" s="341">
        <f>D246+E243</f>
        <v>-61.777069115234553</v>
      </c>
      <c r="F246" s="341">
        <f>E246+F243</f>
        <v>-84.908492122762254</v>
      </c>
      <c r="G246" s="341">
        <f>F246+G243</f>
        <v>-102.79334010110142</v>
      </c>
      <c r="H246" s="405"/>
      <c r="I246" s="15">
        <f t="shared" ref="I246:X246" si="159">H246+I243</f>
        <v>-19.099938839801325</v>
      </c>
      <c r="J246" s="15">
        <f t="shared" si="159"/>
        <v>13.927152994883727</v>
      </c>
      <c r="K246" s="15">
        <f t="shared" si="159"/>
        <v>31.965754198388822</v>
      </c>
      <c r="L246" s="15">
        <f t="shared" si="159"/>
        <v>233.10145347095022</v>
      </c>
      <c r="M246" s="15">
        <f t="shared" si="159"/>
        <v>494.60251386503842</v>
      </c>
      <c r="N246" s="190">
        <f t="shared" si="159"/>
        <v>962.20387341237256</v>
      </c>
      <c r="O246" s="15">
        <f t="shared" si="159"/>
        <v>1437.764560880456</v>
      </c>
      <c r="P246" s="15">
        <f t="shared" si="159"/>
        <v>1908.9013486881868</v>
      </c>
      <c r="Q246" s="15">
        <f t="shared" si="159"/>
        <v>2400.99853512958</v>
      </c>
      <c r="R246" s="15">
        <f t="shared" si="159"/>
        <v>2890.4065277167592</v>
      </c>
      <c r="S246" s="15">
        <f t="shared" si="159"/>
        <v>3382.0363817080561</v>
      </c>
      <c r="T246" s="15">
        <f t="shared" si="159"/>
        <v>3890.09084727345</v>
      </c>
      <c r="U246" s="15">
        <f t="shared" si="159"/>
        <v>4405.1479472200208</v>
      </c>
      <c r="V246" s="15">
        <f t="shared" si="159"/>
        <v>4924.3919969467552</v>
      </c>
      <c r="W246" s="15">
        <f t="shared" si="159"/>
        <v>5458.4396736678773</v>
      </c>
      <c r="X246" s="190">
        <f t="shared" si="159"/>
        <v>6001.0441902999974</v>
      </c>
      <c r="Y246" s="130">
        <f t="shared" ref="Y246:AH246" si="160">X246+Y243</f>
        <v>6557.3354596661447</v>
      </c>
      <c r="Z246" s="130">
        <f t="shared" si="160"/>
        <v>7126.9939761729147</v>
      </c>
      <c r="AA246" s="130">
        <f t="shared" si="160"/>
        <v>7707.4258913901322</v>
      </c>
      <c r="AB246" s="130">
        <f t="shared" si="160"/>
        <v>8284.4168352224551</v>
      </c>
      <c r="AC246" s="130">
        <f t="shared" si="160"/>
        <v>8878.0940189651483</v>
      </c>
      <c r="AD246" s="130">
        <f t="shared" si="160"/>
        <v>9476.6383692957661</v>
      </c>
      <c r="AE246" s="130">
        <f t="shared" si="160"/>
        <v>10085.765344390487</v>
      </c>
      <c r="AF246" s="130">
        <f t="shared" si="160"/>
        <v>10710.267299101268</v>
      </c>
      <c r="AG246" s="130">
        <f t="shared" si="160"/>
        <v>11369.647187403052</v>
      </c>
      <c r="AH246" s="190">
        <f t="shared" si="160"/>
        <v>12056.637665374759</v>
      </c>
    </row>
    <row r="247" spans="1:34">
      <c r="A247" t="s">
        <v>458</v>
      </c>
      <c r="D247" s="343" t="b">
        <f t="shared" ref="D247:AH247" si="161">IF(D185-D246&lt;1,TRUE,FALSE)</f>
        <v>1</v>
      </c>
      <c r="E247" s="343" t="b">
        <f t="shared" si="161"/>
        <v>1</v>
      </c>
      <c r="F247" s="343" t="b">
        <f t="shared" si="161"/>
        <v>1</v>
      </c>
      <c r="G247" s="343" t="b">
        <f t="shared" si="161"/>
        <v>1</v>
      </c>
      <c r="H247" s="408"/>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439</v>
      </c>
    </row>
    <row r="249" spans="1:34" s="1" customFormat="1">
      <c r="A249" s="1" t="s">
        <v>440</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3" activePane="bottomRight" state="frozen"/>
      <selection pane="topRight" activeCell="C1" sqref="C1"/>
      <selection pane="bottomLeft" activeCell="A3" sqref="A3"/>
      <selection pane="bottomRight" activeCell="AF25" sqref="AF25"/>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59958.000000000007</v>
      </c>
      <c r="D4" s="329">
        <f>EIA_electricity_aeo2014!F58 * 1000</f>
        <v>64314.000000000007</v>
      </c>
      <c r="E4" s="329">
        <f>EIA_electricity_aeo2014!G58 * 1000</f>
        <v>63140.544554195854</v>
      </c>
      <c r="F4" s="329">
        <f>EIA_electricity_aeo2014!H58 * 1000</f>
        <v>61888.551296385172</v>
      </c>
      <c r="G4" s="329">
        <f>EIA_electricity_aeo2014!I58 * 1000</f>
        <v>58165.443553990699</v>
      </c>
      <c r="H4" s="21">
        <f>EIA_electricity_aeo2014!J58 * 1000</f>
        <v>59189.965898523005</v>
      </c>
      <c r="I4" s="21">
        <f>EIA_electricity_aeo2014!K58 * 1000</f>
        <v>60781.083812904719</v>
      </c>
      <c r="J4" s="21">
        <f>EIA_electricity_aeo2014!L58 * 1000</f>
        <v>61066.717401996328</v>
      </c>
      <c r="K4" s="21">
        <f>EIA_electricity_aeo2014!M58 * 1000</f>
        <v>62336.344629325758</v>
      </c>
      <c r="L4" s="21">
        <f>EIA_electricity_aeo2014!N58 * 1000</f>
        <v>61401.642542502181</v>
      </c>
      <c r="M4" s="21">
        <f>EIA_electricity_aeo2014!O58 * 1000</f>
        <v>62585.085905779037</v>
      </c>
      <c r="N4" s="388">
        <f>EIA_electricity_aeo2014!P58 * 1000</f>
        <v>61379.896960496146</v>
      </c>
      <c r="O4" s="21">
        <f>EIA_electricity_aeo2014!Q58 * 1000</f>
        <v>62103.001041592011</v>
      </c>
      <c r="P4" s="21">
        <f>EIA_electricity_aeo2014!R58 * 1000</f>
        <v>62521.111633738008</v>
      </c>
      <c r="Q4" s="21">
        <f>EIA_electricity_aeo2014!S58 * 1000</f>
        <v>63640.243361979519</v>
      </c>
      <c r="R4" s="21">
        <f>EIA_electricity_aeo2014!T58 * 1000</f>
        <v>64302.453604512593</v>
      </c>
      <c r="S4" s="21">
        <f>EIA_electricity_aeo2014!U58 * 1000</f>
        <v>64634.301041274288</v>
      </c>
      <c r="T4" s="21">
        <f>EIA_electricity_aeo2014!V58 * 1000</f>
        <v>65529.708973021414</v>
      </c>
      <c r="U4" s="21">
        <f>EIA_electricity_aeo2014!W58 * 1000</f>
        <v>66362.653083784695</v>
      </c>
      <c r="V4" s="21">
        <f>EIA_electricity_aeo2014!X58 * 1000</f>
        <v>66629.134339050332</v>
      </c>
      <c r="W4" s="21">
        <f>EIA_electricity_aeo2014!Y58 * 1000</f>
        <v>67374.25149798223</v>
      </c>
      <c r="X4" s="388">
        <f>EIA_electricity_aeo2014!Z58 * 1000</f>
        <v>67983.724426531699</v>
      </c>
      <c r="Y4" s="21">
        <f>EIA_electricity_aeo2014!AA58 * 1000</f>
        <v>68228.401158799403</v>
      </c>
      <c r="Z4" s="21">
        <f>EIA_electricity_aeo2014!AB58 * 1000</f>
        <v>68464.199148787928</v>
      </c>
      <c r="AA4" s="21">
        <f>EIA_electricity_aeo2014!AC58 * 1000</f>
        <v>68665.061956113001</v>
      </c>
      <c r="AB4" s="21">
        <f>EIA_electricity_aeo2014!AD58 * 1000</f>
        <v>68316.713176369638</v>
      </c>
      <c r="AC4" s="21">
        <f>EIA_electricity_aeo2014!AE58 * 1000</f>
        <v>68701.673110463962</v>
      </c>
      <c r="AD4" s="21">
        <f>EIA_electricity_aeo2014!AF58 * 1000</f>
        <v>68631.390164597513</v>
      </c>
      <c r="AE4" s="21">
        <f>EIA_electricity_aeo2014!AG58 * 1000</f>
        <v>68719.280368581603</v>
      </c>
      <c r="AF4" s="21">
        <f>EIA_electricity_aeo2014!AH58 * 1000</f>
        <v>68983.341792696039</v>
      </c>
      <c r="AG4" s="21">
        <f>EIA_electricity_aeo2014!AI58 * 1000</f>
        <v>70009.496632128532</v>
      </c>
      <c r="AH4" s="21">
        <f>EIA_electricity_aeo2014!AJ58 * 1000</f>
        <v>70660.838472842894</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1393.99</v>
      </c>
      <c r="D7" s="330">
        <f>EIA_RE_aeo2014!F73*1000-D15</f>
        <v>2111.9899999999998</v>
      </c>
      <c r="E7" s="330">
        <f>EIA_RE_aeo2014!G73*1000-E15</f>
        <v>2707.3487498853374</v>
      </c>
      <c r="F7" s="330">
        <f>EIA_RE_aeo2014!H73*1000-F15</f>
        <v>2348.2023844878845</v>
      </c>
      <c r="G7" s="330">
        <f>EIA_RE_aeo2014!I73*1000-G15</f>
        <v>1963.9164817197445</v>
      </c>
      <c r="H7" s="174">
        <f>EIA_RE_aeo2014!J73*1000-H15</f>
        <v>2006.4399619684523</v>
      </c>
      <c r="I7" s="174">
        <f>EIA_RE_aeo2014!K73*1000-I15</f>
        <v>2047.763303510985</v>
      </c>
      <c r="J7" s="174">
        <f>EIA_RE_aeo2014!L73*1000-J15</f>
        <v>2089.3490448765506</v>
      </c>
      <c r="K7" s="174">
        <f>EIA_RE_aeo2014!M73*1000-K15</f>
        <v>2131.2868923022274</v>
      </c>
      <c r="L7" s="174">
        <f>EIA_RE_aeo2014!N73*1000-L15</f>
        <v>2131.2879818516653</v>
      </c>
      <c r="M7" s="174">
        <f>EIA_RE_aeo2014!O73*1000-M15</f>
        <v>2131.2879818516653</v>
      </c>
      <c r="N7" s="184">
        <f>EIA_RE_aeo2014!P73*1000-N15</f>
        <v>2131.2879818516653</v>
      </c>
      <c r="O7" s="174">
        <f>EIA_RE_aeo2014!Q73*1000-O15</f>
        <v>2131.2879818516653</v>
      </c>
      <c r="P7" s="174">
        <f>EIA_RE_aeo2014!R73*1000-P15</f>
        <v>2131.2879818516653</v>
      </c>
      <c r="Q7" s="174">
        <f>EIA_RE_aeo2014!S73*1000-Q15</f>
        <v>2131.2879818516653</v>
      </c>
      <c r="R7" s="174">
        <f>EIA_RE_aeo2014!T73*1000-R15</f>
        <v>2131.2879818516653</v>
      </c>
      <c r="S7" s="83">
        <f>EIA_RE_aeo2014!U73*1000-S15</f>
        <v>2131.2879818516653</v>
      </c>
      <c r="T7" s="83">
        <f>EIA_RE_aeo2014!V73*1000-T15</f>
        <v>2131.2879818516653</v>
      </c>
      <c r="U7" s="83">
        <f>EIA_RE_aeo2014!W73*1000-U15</f>
        <v>2240.8507126663994</v>
      </c>
      <c r="V7" s="83">
        <f>EIA_RE_aeo2014!X73*1000-V15</f>
        <v>2240.8507126663994</v>
      </c>
      <c r="W7" s="83">
        <f>EIA_RE_aeo2014!Y73*1000-W15</f>
        <v>2240.8507126663994</v>
      </c>
      <c r="X7" s="184">
        <f>EIA_RE_aeo2014!Z73*1000-X15</f>
        <v>2252.802888411858</v>
      </c>
      <c r="Y7" s="174">
        <f>EIA_RE_aeo2014!AA73*1000-Y15</f>
        <v>2252.802888411858</v>
      </c>
      <c r="Z7" s="174">
        <f>EIA_RE_aeo2014!AB73*1000-Z15</f>
        <v>2265.9139815764129</v>
      </c>
      <c r="AA7" s="174">
        <f>EIA_RE_aeo2014!AC73*1000-AA15</f>
        <v>2265.9139815764129</v>
      </c>
      <c r="AB7" s="174">
        <f>EIA_RE_aeo2014!AD73*1000-AB15</f>
        <v>2265.9139815764129</v>
      </c>
      <c r="AC7" s="174">
        <f>EIA_RE_aeo2014!AE73*1000-AC15</f>
        <v>2265.9139815764129</v>
      </c>
      <c r="AD7" s="174">
        <f>EIA_RE_aeo2014!AF73*1000-AD15</f>
        <v>2265.9139815764129</v>
      </c>
      <c r="AE7" s="174">
        <f>EIA_RE_aeo2014!AG73*1000-AE15</f>
        <v>2265.9139815764129</v>
      </c>
      <c r="AF7" s="174">
        <f>EIA_RE_aeo2014!AH73*1000-AF15</f>
        <v>2265.9139815764129</v>
      </c>
      <c r="AG7" s="174">
        <f>EIA_RE_aeo2014!AI73*1000-AG15</f>
        <v>2265.9139815764129</v>
      </c>
      <c r="AH7" s="174">
        <f>EIA_RE_aeo2014!AJ73*1000-AH15</f>
        <v>2265.9139815764129</v>
      </c>
    </row>
    <row r="8" spans="1:34">
      <c r="A8" s="9" t="s">
        <v>59</v>
      </c>
      <c r="B8" s="34">
        <v>0</v>
      </c>
      <c r="C8" s="330">
        <f>EIA_electricity_aeo2014!E52*1000</f>
        <v>12683</v>
      </c>
      <c r="D8" s="330">
        <f>EIA_electricity_aeo2014!F52*1000</f>
        <v>13281</v>
      </c>
      <c r="E8" s="330">
        <f>EIA_electricity_aeo2014!G52*1000</f>
        <v>11480.800000000001</v>
      </c>
      <c r="F8" s="330">
        <f>EIA_electricity_aeo2014!H52*1000</f>
        <v>10643.200400000002</v>
      </c>
      <c r="G8" s="330">
        <f>EIA_electricity_aeo2014!I52*1000</f>
        <v>10100.69</v>
      </c>
      <c r="H8" s="3">
        <f>EIA_electricity_aeo2014!J52*1000</f>
        <v>10081.658799999999</v>
      </c>
      <c r="I8" s="3">
        <f>EIA_electricity_aeo2014!K52*1000</f>
        <v>10400.096799999999</v>
      </c>
      <c r="J8" s="3">
        <f>EIA_electricity_aeo2014!L52*1000</f>
        <v>8975.2816000000003</v>
      </c>
      <c r="K8" s="3">
        <f>EIA_electricity_aeo2014!M52*1000</f>
        <v>9861.4992000000002</v>
      </c>
      <c r="L8" s="3">
        <f>EIA_electricity_aeo2014!N52*1000</f>
        <v>6508.796800000001</v>
      </c>
      <c r="M8" s="3">
        <f>EIA_electricity_aeo2014!O52*1000</f>
        <v>6508.796800000001</v>
      </c>
      <c r="N8" s="388">
        <f>EIA_electricity_aeo2014!P52*1000</f>
        <v>3157.0692000000004</v>
      </c>
      <c r="O8" s="3">
        <f>EIA_electricity_aeo2014!Q52*1000</f>
        <v>3157.0692000000004</v>
      </c>
      <c r="P8" s="3">
        <f>EIA_electricity_aeo2014!R52*1000</f>
        <v>3157.0692000000004</v>
      </c>
      <c r="Q8" s="3">
        <f>EIA_electricity_aeo2014!S52*1000</f>
        <v>3157.0692000000004</v>
      </c>
      <c r="R8" s="3">
        <f>EIA_electricity_aeo2014!T52*1000</f>
        <v>3157.0692000000004</v>
      </c>
      <c r="S8" s="3">
        <f>EIA_electricity_aeo2014!U52*1000</f>
        <v>3157.0692000000004</v>
      </c>
      <c r="T8" s="3">
        <f>EIA_electricity_aeo2014!V52*1000</f>
        <v>3157.0692000000004</v>
      </c>
      <c r="U8" s="3">
        <f>EIA_electricity_aeo2014!W52*1000</f>
        <v>3157.0692000000004</v>
      </c>
      <c r="V8" s="3">
        <f>EIA_electricity_aeo2014!X52*1000</f>
        <v>3157.0692000000004</v>
      </c>
      <c r="W8" s="3">
        <f>EIA_electricity_aeo2014!Y52*1000</f>
        <v>3157.0692000000004</v>
      </c>
      <c r="X8" s="184">
        <f>EIA_electricity_aeo2014!Z52*1000</f>
        <v>3157.0692000000004</v>
      </c>
      <c r="Y8" s="174">
        <f>EIA_electricity_aeo2014!AA52*1000</f>
        <v>3157.0692000000004</v>
      </c>
      <c r="Z8" s="174">
        <f>EIA_electricity_aeo2014!AB52*1000</f>
        <v>3157.0692000000004</v>
      </c>
      <c r="AA8" s="174">
        <f>EIA_electricity_aeo2014!AC52*1000</f>
        <v>3157.0692000000004</v>
      </c>
      <c r="AB8" s="174">
        <f>EIA_electricity_aeo2014!AD52*1000</f>
        <v>3157.0692000000004</v>
      </c>
      <c r="AC8" s="174">
        <f>EIA_electricity_aeo2014!AE52*1000</f>
        <v>3157.0692000000004</v>
      </c>
      <c r="AD8" s="174">
        <f>EIA_electricity_aeo2014!AF52*1000</f>
        <v>3157.0692000000004</v>
      </c>
      <c r="AE8" s="174">
        <f>EIA_electricity_aeo2014!AG52*1000</f>
        <v>3157.0692000000004</v>
      </c>
      <c r="AF8" s="174">
        <f>EIA_electricity_aeo2014!AH52*1000</f>
        <v>3157.0692000000004</v>
      </c>
      <c r="AG8" s="174">
        <f>EIA_electricity_aeo2014!AI52*1000</f>
        <v>3157.0692000000004</v>
      </c>
      <c r="AH8" s="174">
        <f>EIA_electricity_aeo2014!AJ52*1000</f>
        <v>3157.0692000000004</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769</v>
      </c>
      <c r="D10" s="330">
        <f>EIA_RE_aeo2014!F76*1000</f>
        <v>878</v>
      </c>
      <c r="E10" s="330">
        <f>EIA_RE_aeo2014!G76*1000</f>
        <v>1212.038169220687</v>
      </c>
      <c r="F10" s="330">
        <f>EIA_RE_aeo2014!H76*1000</f>
        <v>1343.0867934257894</v>
      </c>
      <c r="G10" s="330">
        <f>EIA_RE_aeo2014!I76*1000</f>
        <v>1417.6158264419187</v>
      </c>
      <c r="H10" s="83">
        <f>EIA_RE_aeo2014!J76*1000</f>
        <v>1607.7392787482495</v>
      </c>
      <c r="I10" s="174">
        <f>EIA_RE_aeo2014!K76*1000</f>
        <v>1629.29912243895</v>
      </c>
      <c r="J10" s="174">
        <f>EIA_RE_aeo2014!L76*1000</f>
        <v>1730.8926181350303</v>
      </c>
      <c r="K10" s="174">
        <f>EIA_RE_aeo2014!M76*1000</f>
        <v>1779.3580282874357</v>
      </c>
      <c r="L10" s="174">
        <f>EIA_RE_aeo2014!N76*1000</f>
        <v>1898.085488919879</v>
      </c>
      <c r="M10" s="174">
        <f>EIA_RE_aeo2014!O76*1000</f>
        <v>1975.3663155338211</v>
      </c>
      <c r="N10" s="184">
        <f>EIA_RE_aeo2014!P76*1000</f>
        <v>2096.8466015577019</v>
      </c>
      <c r="O10" s="174">
        <f>EIA_RE_aeo2014!Q76*1000</f>
        <v>2176.0073561563518</v>
      </c>
      <c r="P10" s="174">
        <f>EIA_RE_aeo2014!R76*1000</f>
        <v>2283.44699453155</v>
      </c>
      <c r="Q10" s="174">
        <f>EIA_RE_aeo2014!S76*1000</f>
        <v>2345.6435142451455</v>
      </c>
      <c r="R10" s="174">
        <f>EIA_RE_aeo2014!T76*1000</f>
        <v>2476.626619555062</v>
      </c>
      <c r="S10" s="83">
        <f>EIA_RE_aeo2014!U76*1000</f>
        <v>2541.3360726422875</v>
      </c>
      <c r="T10" s="83">
        <f>EIA_RE_aeo2014!V76*1000</f>
        <v>2603.312820313763</v>
      </c>
      <c r="U10" s="83">
        <f>EIA_RE_aeo2014!W76*1000</f>
        <v>2664.7096999680011</v>
      </c>
      <c r="V10" s="83">
        <f>EIA_RE_aeo2014!X76*1000</f>
        <v>2713.7193812575815</v>
      </c>
      <c r="W10" s="83">
        <f>EIA_RE_aeo2014!Y76*1000</f>
        <v>2768.9389124790846</v>
      </c>
      <c r="X10" s="184">
        <f>EIA_RE_aeo2014!Z76*1000</f>
        <v>2836.1994753040653</v>
      </c>
      <c r="Y10" s="174">
        <f>EIA_RE_aeo2014!AA76*1000</f>
        <v>2888.0574228953938</v>
      </c>
      <c r="Z10" s="174">
        <f>EIA_RE_aeo2014!AB76*1000</f>
        <v>2937.2693357354701</v>
      </c>
      <c r="AA10" s="174">
        <f>EIA_RE_aeo2014!AC76*1000</f>
        <v>3002.4688907945597</v>
      </c>
      <c r="AB10" s="174">
        <f>EIA_RE_aeo2014!AD76*1000</f>
        <v>3070.2257463531546</v>
      </c>
      <c r="AC10" s="174">
        <f>EIA_RE_aeo2014!AE76*1000</f>
        <v>3132.1261412963818</v>
      </c>
      <c r="AD10" s="174">
        <f>EIA_RE_aeo2014!AF76*1000</f>
        <v>3197.4680838757181</v>
      </c>
      <c r="AE10" s="174">
        <f>EIA_RE_aeo2014!AG76*1000</f>
        <v>3254.2440757804984</v>
      </c>
      <c r="AF10" s="174">
        <f>EIA_RE_aeo2014!AH76*1000</f>
        <v>3312.9046387412986</v>
      </c>
      <c r="AG10" s="174">
        <f>EIA_RE_aeo2014!AI76*1000</f>
        <v>3378.7898206641853</v>
      </c>
      <c r="AH10" s="174">
        <f>EIA_RE_aeo2014!AJ76*1000</f>
        <v>3434.4875882308643</v>
      </c>
    </row>
    <row r="11" spans="1:34" s="20" customFormat="1">
      <c r="A11" s="9" t="s">
        <v>50</v>
      </c>
      <c r="B11" s="35">
        <v>1</v>
      </c>
      <c r="C11" s="330">
        <f>EIA_RE_aeo2014!E74*1000</f>
        <v>0</v>
      </c>
      <c r="D11" s="330">
        <f>EIA_RE_aeo2014!F74*1000</f>
        <v>0</v>
      </c>
      <c r="E11" s="330">
        <f>EIA_RE_aeo2014!G74*1000</f>
        <v>1.0000000000000001E-7</v>
      </c>
      <c r="F11" s="330">
        <f>EIA_RE_aeo2014!H74*1000</f>
        <v>1.0000000000000001E-7</v>
      </c>
      <c r="G11" s="330">
        <f>EIA_RE_aeo2014!I74*1000</f>
        <v>1.0000000000000001E-7</v>
      </c>
      <c r="H11" s="83">
        <f>EIA_RE_aeo2014!J74*1000</f>
        <v>1.0000000000000001E-7</v>
      </c>
      <c r="I11" s="83">
        <f>EIA_RE_aeo2014!K74*1000</f>
        <v>1.0000000000000001E-7</v>
      </c>
      <c r="J11" s="83">
        <f>EIA_RE_aeo2014!L74*1000</f>
        <v>1.0000000000000001E-7</v>
      </c>
      <c r="K11" s="83">
        <f>EIA_RE_aeo2014!M74*1000</f>
        <v>1.0000000000000001E-7</v>
      </c>
      <c r="L11" s="83">
        <f>EIA_RE_aeo2014!N74*1000</f>
        <v>1.0000000000000001E-7</v>
      </c>
      <c r="M11" s="83">
        <f>EIA_RE_aeo2014!O74*1000</f>
        <v>1.0000000000000001E-7</v>
      </c>
      <c r="N11" s="388">
        <f>EIA_RE_aeo2014!P74*1000</f>
        <v>1.0000000000000001E-7</v>
      </c>
      <c r="O11" s="83">
        <f>EIA_RE_aeo2014!Q74*1000</f>
        <v>1.0000000000000001E-7</v>
      </c>
      <c r="P11" s="83">
        <f>EIA_RE_aeo2014!R74*1000</f>
        <v>1.0000000000000001E-7</v>
      </c>
      <c r="Q11" s="83">
        <f>EIA_RE_aeo2014!S74*1000</f>
        <v>1.0000000000000001E-7</v>
      </c>
      <c r="R11" s="83">
        <f>EIA_RE_aeo2014!T74*1000</f>
        <v>1.0000000000000001E-7</v>
      </c>
      <c r="S11" s="83">
        <f>EIA_RE_aeo2014!U74*1000</f>
        <v>1.0000000000000001E-7</v>
      </c>
      <c r="T11" s="83">
        <f>EIA_RE_aeo2014!V74*1000</f>
        <v>1.0000000000000001E-7</v>
      </c>
      <c r="U11" s="83">
        <f>EIA_RE_aeo2014!W74*1000</f>
        <v>1.0000000000000001E-7</v>
      </c>
      <c r="V11" s="83">
        <f>EIA_RE_aeo2014!X74*1000</f>
        <v>1.0000000000000001E-7</v>
      </c>
      <c r="W11" s="83">
        <f>EIA_RE_aeo2014!Y74*1000</f>
        <v>1.0000000000000001E-7</v>
      </c>
      <c r="X11" s="184">
        <f>EIA_RE_aeo2014!Z74*1000</f>
        <v>1.0000000000000001E-7</v>
      </c>
      <c r="Y11" s="174">
        <f>EIA_RE_aeo2014!AA74*1000</f>
        <v>1.0000000000000001E-7</v>
      </c>
      <c r="Z11" s="174">
        <f>EIA_RE_aeo2014!AB74*1000</f>
        <v>1.0000000000000001E-7</v>
      </c>
      <c r="AA11" s="174">
        <f>EIA_RE_aeo2014!AC74*1000</f>
        <v>1.0000000000000001E-7</v>
      </c>
      <c r="AB11" s="174">
        <f>EIA_RE_aeo2014!AD74*1000</f>
        <v>1.0000000000000001E-7</v>
      </c>
      <c r="AC11" s="174">
        <f>EIA_RE_aeo2014!AE74*1000</f>
        <v>1.0000000000000001E-7</v>
      </c>
      <c r="AD11" s="174">
        <f>EIA_RE_aeo2014!AF74*1000</f>
        <v>1.0000000000000001E-7</v>
      </c>
      <c r="AE11" s="174">
        <f>EIA_RE_aeo2014!AG74*1000</f>
        <v>1.0000000000000001E-7</v>
      </c>
      <c r="AF11" s="174">
        <f>EIA_RE_aeo2014!AH74*1000</f>
        <v>1.0000000000000001E-7</v>
      </c>
      <c r="AG11" s="174">
        <f>EIA_RE_aeo2014!AI74*1000</f>
        <v>1.0000000000000001E-7</v>
      </c>
      <c r="AH11" s="174">
        <f>EIA_RE_aeo2014!AJ74*1000</f>
        <v>1.0000000000000001E-7</v>
      </c>
    </row>
    <row r="12" spans="1:34" s="20" customFormat="1">
      <c r="A12" s="9" t="s">
        <v>51</v>
      </c>
      <c r="B12" s="35">
        <v>1</v>
      </c>
      <c r="C12" s="330">
        <f>EIA_RE_aeo2014!E75*1000</f>
        <v>489</v>
      </c>
      <c r="D12" s="330">
        <f>EIA_RE_aeo2014!F75*1000</f>
        <v>470</v>
      </c>
      <c r="E12" s="330">
        <f>EIA_RE_aeo2014!G75*1000</f>
        <v>802.14503632067488</v>
      </c>
      <c r="F12" s="330">
        <f>EIA_RE_aeo2014!H75*1000</f>
        <v>865.14373850665118</v>
      </c>
      <c r="G12" s="330">
        <f>EIA_RE_aeo2014!I75*1000</f>
        <v>336.22774402120632</v>
      </c>
      <c r="H12" s="83">
        <f>EIA_RE_aeo2014!J75*1000</f>
        <v>362.80386002287167</v>
      </c>
      <c r="I12" s="174">
        <f>EIA_RE_aeo2014!K75*1000</f>
        <v>369.51532905241754</v>
      </c>
      <c r="J12" s="174">
        <f>EIA_RE_aeo2014!L75*1000</f>
        <v>369.61157512413996</v>
      </c>
      <c r="K12" s="174">
        <f>EIA_RE_aeo2014!M75*1000</f>
        <v>369.69290983263772</v>
      </c>
      <c r="L12" s="174">
        <f>EIA_RE_aeo2014!N75*1000</f>
        <v>369.72815487298681</v>
      </c>
      <c r="M12" s="174">
        <f>EIA_RE_aeo2014!O75*1000</f>
        <v>369.66308710618864</v>
      </c>
      <c r="N12" s="184">
        <f>EIA_RE_aeo2014!P75*1000</f>
        <v>369.56277429904128</v>
      </c>
      <c r="O12" s="174">
        <f>EIA_RE_aeo2014!Q75*1000</f>
        <v>369.50493628410948</v>
      </c>
      <c r="P12" s="174">
        <f>EIA_RE_aeo2014!R75*1000</f>
        <v>369.44845384765262</v>
      </c>
      <c r="Q12" s="174">
        <f>EIA_RE_aeo2014!S75*1000</f>
        <v>369.38519351882098</v>
      </c>
      <c r="R12" s="174">
        <f>EIA_RE_aeo2014!T75*1000</f>
        <v>369.323740627956</v>
      </c>
      <c r="S12" s="83">
        <f>EIA_RE_aeo2014!U75*1000</f>
        <v>369.26273959658261</v>
      </c>
      <c r="T12" s="83">
        <f>EIA_RE_aeo2014!V75*1000</f>
        <v>369.18682720198461</v>
      </c>
      <c r="U12" s="83">
        <f>EIA_RE_aeo2014!W75*1000</f>
        <v>369.10413691501185</v>
      </c>
      <c r="V12" s="83">
        <f>EIA_RE_aeo2014!X75*1000</f>
        <v>369.01060200023932</v>
      </c>
      <c r="W12" s="83">
        <f>EIA_RE_aeo2014!Y75*1000</f>
        <v>368.8696218388431</v>
      </c>
      <c r="X12" s="184">
        <f>EIA_RE_aeo2014!Z75*1000</f>
        <v>368.58178734265914</v>
      </c>
      <c r="Y12" s="174">
        <f>EIA_RE_aeo2014!AA75*1000</f>
        <v>368.29485656545847</v>
      </c>
      <c r="Z12" s="174">
        <f>EIA_RE_aeo2014!AB75*1000</f>
        <v>368.01063694520769</v>
      </c>
      <c r="AA12" s="174">
        <f>EIA_RE_aeo2014!AC75*1000</f>
        <v>367.7331952173318</v>
      </c>
      <c r="AB12" s="174">
        <f>EIA_RE_aeo2014!AD75*1000</f>
        <v>367.47382786912203</v>
      </c>
      <c r="AC12" s="174">
        <f>EIA_RE_aeo2014!AE75*1000</f>
        <v>367.21626795887892</v>
      </c>
      <c r="AD12" s="174">
        <f>EIA_RE_aeo2014!AF75*1000</f>
        <v>366.96729337897722</v>
      </c>
      <c r="AE12" s="174">
        <f>EIA_RE_aeo2014!AG75*1000</f>
        <v>366.72961528636688</v>
      </c>
      <c r="AF12" s="174">
        <f>EIA_RE_aeo2014!AH75*1000</f>
        <v>366.48109256595683</v>
      </c>
      <c r="AG12" s="174">
        <f>EIA_RE_aeo2014!AI75*1000</f>
        <v>366.27820765420398</v>
      </c>
      <c r="AH12" s="174">
        <f>EIA_RE_aeo2014!AJ75*1000</f>
        <v>366.08842666770903</v>
      </c>
    </row>
    <row r="13" spans="1:34">
      <c r="A13" s="9" t="s">
        <v>347</v>
      </c>
      <c r="B13" s="34">
        <v>1</v>
      </c>
      <c r="C13" s="330">
        <f>(EIA_RE_aeo2014!E34+EIA_RE_aeo2014!E54)*1000</f>
        <v>0</v>
      </c>
      <c r="D13" s="330">
        <f>(EIA_RE_aeo2014!F34+EIA_RE_aeo2014!F54)*1000</f>
        <v>0</v>
      </c>
      <c r="E13" s="330">
        <f>(EIA_RE_aeo2014!G34+EIA_RE_aeo2014!G54)*1000</f>
        <v>0.2</v>
      </c>
      <c r="F13" s="330">
        <f>(EIA_RE_aeo2014!H34+EIA_RE_aeo2014!H54)*1000</f>
        <v>0.2</v>
      </c>
      <c r="G13" s="330">
        <f>(EIA_RE_aeo2014!I34+EIA_RE_aeo2014!I54)*1000</f>
        <v>0.2</v>
      </c>
      <c r="H13" s="83">
        <f>(EIA_RE_aeo2014!J34+EIA_RE_aeo2014!J54)*1000</f>
        <v>0.2</v>
      </c>
      <c r="I13" s="83">
        <f>(EIA_RE_aeo2014!K34+EIA_RE_aeo2014!K54)*1000</f>
        <v>0.2</v>
      </c>
      <c r="J13" s="83">
        <f>(EIA_RE_aeo2014!L34+EIA_RE_aeo2014!L54)*1000</f>
        <v>0.2</v>
      </c>
      <c r="K13" s="83">
        <f>(EIA_RE_aeo2014!M34+EIA_RE_aeo2014!M54)*1000</f>
        <v>0.2</v>
      </c>
      <c r="L13" s="83">
        <f>(EIA_RE_aeo2014!N34+EIA_RE_aeo2014!N54)*1000</f>
        <v>0.2</v>
      </c>
      <c r="M13" s="83">
        <f>(EIA_RE_aeo2014!O34+EIA_RE_aeo2014!O54)*1000</f>
        <v>0.2</v>
      </c>
      <c r="N13" s="388">
        <f>(EIA_RE_aeo2014!P34+EIA_RE_aeo2014!P54)*1000</f>
        <v>0.2</v>
      </c>
      <c r="O13" s="83">
        <f>(EIA_RE_aeo2014!Q34+EIA_RE_aeo2014!Q54)*1000</f>
        <v>0.2</v>
      </c>
      <c r="P13" s="83">
        <f>(EIA_RE_aeo2014!R34+EIA_RE_aeo2014!R54)*1000</f>
        <v>0.2</v>
      </c>
      <c r="Q13" s="83">
        <f>(EIA_RE_aeo2014!S34+EIA_RE_aeo2014!S54)*1000</f>
        <v>0.2</v>
      </c>
      <c r="R13" s="83">
        <f>(EIA_RE_aeo2014!T34+EIA_RE_aeo2014!T54)*1000</f>
        <v>0.2</v>
      </c>
      <c r="S13" s="83">
        <f>(EIA_RE_aeo2014!U34+EIA_RE_aeo2014!U54)*1000</f>
        <v>0.2</v>
      </c>
      <c r="T13" s="83">
        <f>(EIA_RE_aeo2014!V34+EIA_RE_aeo2014!V54)*1000</f>
        <v>0.2</v>
      </c>
      <c r="U13" s="83">
        <f>(EIA_RE_aeo2014!W34+EIA_RE_aeo2014!W54)*1000</f>
        <v>0.2</v>
      </c>
      <c r="V13" s="83">
        <f>(EIA_RE_aeo2014!X34+EIA_RE_aeo2014!X54)*1000</f>
        <v>0.2</v>
      </c>
      <c r="W13" s="83">
        <f>(EIA_RE_aeo2014!Y34+EIA_RE_aeo2014!Y54)*1000</f>
        <v>0.2</v>
      </c>
      <c r="X13" s="184">
        <f>(EIA_RE_aeo2014!Z34+EIA_RE_aeo2014!Z54)*1000</f>
        <v>0.2</v>
      </c>
      <c r="Y13" s="174">
        <f>(EIA_RE_aeo2014!AA34+EIA_RE_aeo2014!AA54)*1000</f>
        <v>0.2</v>
      </c>
      <c r="Z13" s="174">
        <f>(EIA_RE_aeo2014!AB34+EIA_RE_aeo2014!AB54)*1000</f>
        <v>0.2</v>
      </c>
      <c r="AA13" s="174">
        <f>(EIA_RE_aeo2014!AC34+EIA_RE_aeo2014!AC54)*1000</f>
        <v>0.2</v>
      </c>
      <c r="AB13" s="174">
        <f>(EIA_RE_aeo2014!AD34+EIA_RE_aeo2014!AD54)*1000</f>
        <v>0.2</v>
      </c>
      <c r="AC13" s="174">
        <f>(EIA_RE_aeo2014!AE34+EIA_RE_aeo2014!AE54)*1000</f>
        <v>0.2</v>
      </c>
      <c r="AD13" s="174">
        <f>(EIA_RE_aeo2014!AF34+EIA_RE_aeo2014!AF54)*1000</f>
        <v>0.2</v>
      </c>
      <c r="AE13" s="174">
        <f>(EIA_RE_aeo2014!AG34+EIA_RE_aeo2014!AG54)*1000</f>
        <v>0.2</v>
      </c>
      <c r="AF13" s="174">
        <f>(EIA_RE_aeo2014!AH34+EIA_RE_aeo2014!AH54)*1000</f>
        <v>0.2</v>
      </c>
      <c r="AG13" s="174">
        <f>(EIA_RE_aeo2014!AI34+EIA_RE_aeo2014!AI54)*1000</f>
        <v>0.2</v>
      </c>
      <c r="AH13" s="174">
        <f>EIA_RE_aeo2014!AJ77*1000</f>
        <v>0</v>
      </c>
    </row>
    <row r="14" spans="1:34">
      <c r="A14" s="9" t="s">
        <v>348</v>
      </c>
      <c r="B14" s="34">
        <v>1</v>
      </c>
      <c r="C14" s="330">
        <f>EIA_RE_aeo2014!E33*1000</f>
        <v>0</v>
      </c>
      <c r="D14" s="330">
        <f>EIA_RE_aeo2014!F33*1000</f>
        <v>0</v>
      </c>
      <c r="E14" s="330">
        <f>EIA_RE_aeo2014!G33*1000</f>
        <v>0.1</v>
      </c>
      <c r="F14" s="330">
        <f>EIA_RE_aeo2014!H33*1000</f>
        <v>0.1</v>
      </c>
      <c r="G14" s="330">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88">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4">
        <f>EIA_RE_aeo2014!Z33*1000</f>
        <v>0.1</v>
      </c>
      <c r="Y14" s="174">
        <f>EIA_RE_aeo2014!AA33*1000</f>
        <v>0.1</v>
      </c>
      <c r="Z14" s="174">
        <f>EIA_RE_aeo2014!AB33*1000</f>
        <v>0.1</v>
      </c>
      <c r="AA14" s="174">
        <f>EIA_RE_aeo2014!AC33*1000</f>
        <v>0.1</v>
      </c>
      <c r="AB14" s="174">
        <f>EIA_RE_aeo2014!AD33*1000</f>
        <v>0.1</v>
      </c>
      <c r="AC14" s="174">
        <f>EIA_RE_aeo2014!AE33*1000</f>
        <v>0.1</v>
      </c>
      <c r="AD14" s="174">
        <f>EIA_RE_aeo2014!AF33*1000</f>
        <v>0.1</v>
      </c>
      <c r="AE14" s="174">
        <f>EIA_RE_aeo2014!AG33*1000</f>
        <v>0.1</v>
      </c>
      <c r="AF14" s="174">
        <f>EIA_RE_aeo2014!AH33*1000</f>
        <v>0.1</v>
      </c>
      <c r="AG14" s="174">
        <f>EIA_RE_aeo2014!AI33*1000</f>
        <v>0.1</v>
      </c>
      <c r="AH14" s="174">
        <f>EIA_RE_aeo2014!AJ33*1000</f>
        <v>0.1</v>
      </c>
    </row>
    <row r="15" spans="1:34" s="514" customFormat="1">
      <c r="A15" s="511" t="s">
        <v>717</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1052</v>
      </c>
      <c r="D16" s="330">
        <f>EIA_RE_aeo2014!F78*1000</f>
        <v>1088</v>
      </c>
      <c r="E16" s="330">
        <f>EIA_RE_aeo2014!G78*1000</f>
        <v>1045.4322363611645</v>
      </c>
      <c r="F16" s="330">
        <f>EIA_RE_aeo2014!H78*1000</f>
        <v>1223.9600189128043</v>
      </c>
      <c r="G16" s="330">
        <f>EIA_RE_aeo2014!I78*1000</f>
        <v>1296.5034865817324</v>
      </c>
      <c r="H16" s="3">
        <f>EIA_RE_aeo2014!J78*1000</f>
        <v>1311.4041537841001</v>
      </c>
      <c r="I16" s="3">
        <f>EIA_RE_aeo2014!K78*1000</f>
        <v>1574.00284443796</v>
      </c>
      <c r="J16" s="3">
        <f>EIA_RE_aeo2014!L78*1000</f>
        <v>1740.6736976386451</v>
      </c>
      <c r="K16" s="3">
        <f>EIA_RE_aeo2014!M78*1000</f>
        <v>1741.5900814517138</v>
      </c>
      <c r="L16" s="3">
        <f>EIA_RE_aeo2014!N78*1000</f>
        <v>1741.6068377430504</v>
      </c>
      <c r="M16" s="3">
        <f>EIA_RE_aeo2014!O78*1000</f>
        <v>1741.6068377430504</v>
      </c>
      <c r="N16" s="388">
        <f>EIA_RE_aeo2014!P78*1000</f>
        <v>1741.6631682247555</v>
      </c>
      <c r="O16" s="3">
        <f>EIA_RE_aeo2014!Q78*1000</f>
        <v>1741.4296611970983</v>
      </c>
      <c r="P16" s="3">
        <f>EIA_RE_aeo2014!R78*1000</f>
        <v>1741.4512436092116</v>
      </c>
      <c r="Q16" s="3">
        <f>EIA_RE_aeo2014!S78*1000</f>
        <v>1741.3840640080007</v>
      </c>
      <c r="R16" s="3">
        <f>EIA_RE_aeo2014!T78*1000</f>
        <v>1741.3740256767851</v>
      </c>
      <c r="S16" s="3">
        <f>EIA_RE_aeo2014!U78*1000</f>
        <v>1741.3144906508844</v>
      </c>
      <c r="T16" s="3">
        <f>EIA_RE_aeo2014!V78*1000</f>
        <v>1741.2848775737989</v>
      </c>
      <c r="U16" s="3">
        <f>EIA_RE_aeo2014!W78*1000</f>
        <v>1740.9839979000999</v>
      </c>
      <c r="V16" s="3">
        <f>EIA_RE_aeo2014!X78*1000</f>
        <v>1740.9151967223079</v>
      </c>
      <c r="W16" s="3">
        <f>EIA_RE_aeo2014!Y78*1000</f>
        <v>1740.8602175544206</v>
      </c>
      <c r="X16" s="184">
        <f>EIA_RE_aeo2014!Z78*1000</f>
        <v>1740.7312249983027</v>
      </c>
      <c r="Y16" s="174">
        <f>EIA_RE_aeo2014!AA78*1000</f>
        <v>1740.780219776427</v>
      </c>
      <c r="Z16" s="174">
        <f>EIA_RE_aeo2014!AB78*1000</f>
        <v>1740.8801783899528</v>
      </c>
      <c r="AA16" s="174">
        <f>EIA_RE_aeo2014!AC78*1000</f>
        <v>1741.6298872958798</v>
      </c>
      <c r="AB16" s="174">
        <f>EIA_RE_aeo2014!AD78*1000</f>
        <v>1743.2543981582637</v>
      </c>
      <c r="AC16" s="174">
        <f>EIA_RE_aeo2014!AE78*1000</f>
        <v>1744.8962444464778</v>
      </c>
      <c r="AD16" s="174">
        <f>EIA_RE_aeo2014!AF78*1000</f>
        <v>1744.7529279638948</v>
      </c>
      <c r="AE16" s="174">
        <f>EIA_RE_aeo2014!AG78*1000</f>
        <v>1747.5756294837374</v>
      </c>
      <c r="AF16" s="174">
        <f>EIA_RE_aeo2014!AH78*1000</f>
        <v>1749.5019080260436</v>
      </c>
      <c r="AG16" s="174">
        <f>EIA_RE_aeo2014!AI78*1000</f>
        <v>1752.49004896611</v>
      </c>
      <c r="AH16" s="174">
        <f>EIA_RE_aeo2014!AJ78*1000</f>
        <v>1757.3292581822989</v>
      </c>
    </row>
    <row r="17" spans="1:34">
      <c r="A17" s="11" t="s">
        <v>327</v>
      </c>
      <c r="B17" s="36"/>
      <c r="C17" s="330">
        <f t="shared" ref="C17:AH17" si="0">SUM(C7:C16)</f>
        <v>16387</v>
      </c>
      <c r="D17" s="330">
        <f t="shared" si="0"/>
        <v>17828.999999999996</v>
      </c>
      <c r="E17" s="330">
        <f t="shared" si="0"/>
        <v>17248.074191887867</v>
      </c>
      <c r="F17" s="330">
        <f t="shared" si="0"/>
        <v>16423.903335433133</v>
      </c>
      <c r="G17" s="330">
        <f t="shared" si="0"/>
        <v>15115.263538864605</v>
      </c>
      <c r="H17" s="3">
        <f t="shared" si="0"/>
        <v>15370.356054623675</v>
      </c>
      <c r="I17" s="3">
        <f t="shared" si="0"/>
        <v>16020.987399540314</v>
      </c>
      <c r="J17" s="3">
        <f t="shared" si="0"/>
        <v>14906.118535874368</v>
      </c>
      <c r="K17" s="3">
        <f t="shared" si="0"/>
        <v>15883.737111974016</v>
      </c>
      <c r="L17" s="3">
        <f t="shared" si="0"/>
        <v>12649.815263487584</v>
      </c>
      <c r="M17" s="3">
        <f t="shared" si="0"/>
        <v>12727.03102233473</v>
      </c>
      <c r="N17" s="388">
        <f t="shared" si="0"/>
        <v>9496.7397260331654</v>
      </c>
      <c r="O17" s="3">
        <f t="shared" si="0"/>
        <v>9575.6091355892258</v>
      </c>
      <c r="P17" s="3">
        <f t="shared" si="0"/>
        <v>9683.0138739400791</v>
      </c>
      <c r="Q17" s="3">
        <f t="shared" si="0"/>
        <v>9745.0799537236344</v>
      </c>
      <c r="R17" s="3">
        <f t="shared" si="0"/>
        <v>9875.9915678114703</v>
      </c>
      <c r="S17" s="3">
        <f t="shared" si="0"/>
        <v>9940.5804848414209</v>
      </c>
      <c r="T17" s="3">
        <f t="shared" si="0"/>
        <v>10002.451707041213</v>
      </c>
      <c r="U17" s="3">
        <f t="shared" si="0"/>
        <v>10173.027747549513</v>
      </c>
      <c r="V17" s="3">
        <f t="shared" si="0"/>
        <v>10221.87509274653</v>
      </c>
      <c r="W17" s="3">
        <f t="shared" si="0"/>
        <v>10276.898664638748</v>
      </c>
      <c r="X17" s="184">
        <f t="shared" si="0"/>
        <v>10355.694576156886</v>
      </c>
      <c r="Y17" s="174">
        <f t="shared" si="0"/>
        <v>10407.314587749139</v>
      </c>
      <c r="Z17" s="174">
        <f t="shared" si="0"/>
        <v>10469.453332747047</v>
      </c>
      <c r="AA17" s="174">
        <f t="shared" si="0"/>
        <v>10535.125154984187</v>
      </c>
      <c r="AB17" s="174">
        <f t="shared" si="0"/>
        <v>10604.247154056957</v>
      </c>
      <c r="AC17" s="174">
        <f t="shared" si="0"/>
        <v>10667.531835378153</v>
      </c>
      <c r="AD17" s="174">
        <f t="shared" si="0"/>
        <v>10732.481486895005</v>
      </c>
      <c r="AE17" s="174">
        <f t="shared" si="0"/>
        <v>10791.842502227018</v>
      </c>
      <c r="AF17" s="174">
        <f t="shared" si="0"/>
        <v>10852.180821009715</v>
      </c>
      <c r="AG17" s="174">
        <f t="shared" si="0"/>
        <v>10920.851258960916</v>
      </c>
      <c r="AH17" s="174">
        <f t="shared" si="0"/>
        <v>10980.998454757288</v>
      </c>
    </row>
    <row r="18" spans="1:34">
      <c r="A18" s="10" t="s">
        <v>126</v>
      </c>
      <c r="B18" s="37"/>
      <c r="C18" s="331">
        <f t="shared" ref="C18:AH18" si="1">SUMPRODUCT($B7:$B16,C7:C16)</f>
        <v>2310.0100000000002</v>
      </c>
      <c r="D18" s="331">
        <f t="shared" si="1"/>
        <v>2436.0100000000002</v>
      </c>
      <c r="E18" s="331">
        <f t="shared" si="1"/>
        <v>3059.9254420025263</v>
      </c>
      <c r="F18" s="331">
        <f t="shared" si="1"/>
        <v>3432.5005509452449</v>
      </c>
      <c r="G18" s="331">
        <f t="shared" si="1"/>
        <v>3050.6570571448574</v>
      </c>
      <c r="H18" s="14">
        <f t="shared" si="1"/>
        <v>3282.2572926552211</v>
      </c>
      <c r="I18" s="14">
        <f t="shared" si="1"/>
        <v>3573.1272960293277</v>
      </c>
      <c r="J18" s="14">
        <f t="shared" si="1"/>
        <v>3841.4878909978152</v>
      </c>
      <c r="K18" s="14">
        <f t="shared" si="1"/>
        <v>3890.9510196717874</v>
      </c>
      <c r="L18" s="14">
        <f t="shared" si="1"/>
        <v>4009.7304816359165</v>
      </c>
      <c r="M18" s="14">
        <f t="shared" si="1"/>
        <v>4086.9462404830601</v>
      </c>
      <c r="N18" s="190">
        <f t="shared" si="1"/>
        <v>4208.3825441814988</v>
      </c>
      <c r="O18" s="14">
        <f t="shared" si="1"/>
        <v>4287.2519537375592</v>
      </c>
      <c r="P18" s="14">
        <f t="shared" si="1"/>
        <v>4394.6566920884143</v>
      </c>
      <c r="Q18" s="14">
        <f t="shared" si="1"/>
        <v>4456.7227718719669</v>
      </c>
      <c r="R18" s="14">
        <f t="shared" si="1"/>
        <v>4587.6343859598028</v>
      </c>
      <c r="S18" s="14">
        <f t="shared" si="1"/>
        <v>4652.2233029897543</v>
      </c>
      <c r="T18" s="14">
        <f t="shared" si="1"/>
        <v>4714.0945251895464</v>
      </c>
      <c r="U18" s="14">
        <f t="shared" si="1"/>
        <v>4775.1078348831124</v>
      </c>
      <c r="V18" s="14">
        <f t="shared" si="1"/>
        <v>4823.9551800801291</v>
      </c>
      <c r="W18" s="14">
        <f t="shared" si="1"/>
        <v>4878.9787519723486</v>
      </c>
      <c r="X18" s="187">
        <f t="shared" si="1"/>
        <v>4945.8224877450266</v>
      </c>
      <c r="Y18" s="14">
        <f t="shared" si="1"/>
        <v>4997.4424993372786</v>
      </c>
      <c r="Z18" s="14">
        <f t="shared" si="1"/>
        <v>5046.4701511706307</v>
      </c>
      <c r="AA18" s="14">
        <f t="shared" si="1"/>
        <v>5112.1419734077708</v>
      </c>
      <c r="AB18" s="14">
        <f t="shared" si="1"/>
        <v>5181.2639724805404</v>
      </c>
      <c r="AC18" s="14">
        <f t="shared" si="1"/>
        <v>5244.5486538017376</v>
      </c>
      <c r="AD18" s="14">
        <f t="shared" si="1"/>
        <v>5309.4983053185897</v>
      </c>
      <c r="AE18" s="14">
        <f t="shared" si="1"/>
        <v>5368.859320650603</v>
      </c>
      <c r="AF18" s="14">
        <f t="shared" si="1"/>
        <v>5429.1976394332987</v>
      </c>
      <c r="AG18" s="14">
        <f t="shared" si="1"/>
        <v>5497.868077384499</v>
      </c>
      <c r="AH18" s="14">
        <f t="shared" si="1"/>
        <v>5558.0152731808721</v>
      </c>
    </row>
    <row r="19" spans="1:34">
      <c r="A19" s="10" t="s">
        <v>112</v>
      </c>
      <c r="B19" s="37"/>
      <c r="C19" s="332">
        <f t="shared" ref="C19:AH19" si="2">C18/C4</f>
        <v>3.8527135661629804E-2</v>
      </c>
      <c r="D19" s="332">
        <f t="shared" si="2"/>
        <v>3.7876823086730724E-2</v>
      </c>
      <c r="E19" s="332">
        <f t="shared" si="2"/>
        <v>4.8462132590194558E-2</v>
      </c>
      <c r="F19" s="332">
        <f t="shared" si="2"/>
        <v>5.5462609465633632E-2</v>
      </c>
      <c r="G19" s="332">
        <f t="shared" si="2"/>
        <v>5.2447929057966469E-2</v>
      </c>
      <c r="H19" s="23">
        <f t="shared" si="2"/>
        <v>5.5452934341648691E-2</v>
      </c>
      <c r="I19" s="23">
        <f t="shared" si="2"/>
        <v>5.8786830900022555E-2</v>
      </c>
      <c r="J19" s="23">
        <f t="shared" si="2"/>
        <v>6.2906408833303909E-2</v>
      </c>
      <c r="K19" s="23">
        <f t="shared" si="2"/>
        <v>6.2418658694358427E-2</v>
      </c>
      <c r="L19" s="23">
        <f t="shared" si="2"/>
        <v>6.5303309742249696E-2</v>
      </c>
      <c r="M19" s="23">
        <f t="shared" si="2"/>
        <v>6.5302239045192015E-2</v>
      </c>
      <c r="N19" s="183">
        <f t="shared" si="2"/>
        <v>6.8562880561529732E-2</v>
      </c>
      <c r="O19" s="23">
        <f t="shared" si="2"/>
        <v>6.9034537491453496E-2</v>
      </c>
      <c r="P19" s="23">
        <f t="shared" si="2"/>
        <v>7.0290763827637132E-2</v>
      </c>
      <c r="Q19" s="23">
        <f t="shared" si="2"/>
        <v>7.0029945462693491E-2</v>
      </c>
      <c r="R19" s="23">
        <f t="shared" si="2"/>
        <v>7.1344624175240706E-2</v>
      </c>
      <c r="S19" s="23">
        <f t="shared" si="2"/>
        <v>7.1977622222895693E-2</v>
      </c>
      <c r="T19" s="23">
        <f t="shared" si="2"/>
        <v>7.1938279584460529E-2</v>
      </c>
      <c r="U19" s="23">
        <f t="shared" si="2"/>
        <v>7.1954745824498692E-2</v>
      </c>
      <c r="V19" s="23">
        <f t="shared" si="2"/>
        <v>7.2400087858456266E-2</v>
      </c>
      <c r="W19" s="23">
        <f t="shared" si="2"/>
        <v>7.2416073551755417E-2</v>
      </c>
      <c r="X19" s="185">
        <f t="shared" si="2"/>
        <v>7.2750096136463549E-2</v>
      </c>
      <c r="Y19" s="172">
        <f t="shared" si="2"/>
        <v>7.3245780561468715E-2</v>
      </c>
      <c r="Z19" s="172">
        <f t="shared" si="2"/>
        <v>7.3709620705611836E-2</v>
      </c>
      <c r="AA19" s="172">
        <f t="shared" si="2"/>
        <v>7.4450409389788016E-2</v>
      </c>
      <c r="AB19" s="172">
        <f t="shared" si="2"/>
        <v>7.5841821592094835E-2</v>
      </c>
      <c r="AC19" s="172">
        <f t="shared" si="2"/>
        <v>7.6338004830961523E-2</v>
      </c>
      <c r="AD19" s="172">
        <f t="shared" si="2"/>
        <v>7.7362534732065155E-2</v>
      </c>
      <c r="AE19" s="172">
        <f t="shared" si="2"/>
        <v>7.8127408957926761E-2</v>
      </c>
      <c r="AF19" s="172">
        <f t="shared" si="2"/>
        <v>7.8703024503346722E-2</v>
      </c>
      <c r="AG19" s="172">
        <f t="shared" si="2"/>
        <v>7.8530318626250983E-2</v>
      </c>
      <c r="AH19" s="172">
        <f t="shared" si="2"/>
        <v>7.8657646771584599E-2</v>
      </c>
    </row>
    <row r="20" spans="1:34">
      <c r="A20" s="10" t="s">
        <v>142</v>
      </c>
      <c r="B20" s="37"/>
      <c r="C20" s="331">
        <f>EIA_electricity_aeo2014!E49*1000</f>
        <v>37280</v>
      </c>
      <c r="D20" s="331">
        <f>EIA_electricity_aeo2014!F49*1000</f>
        <v>40169</v>
      </c>
      <c r="E20" s="331">
        <f>EIA_electricity_aeo2014!G49*1000</f>
        <v>42435.000599999999</v>
      </c>
      <c r="F20" s="331">
        <f>EIA_electricity_aeo2014!H49*1000</f>
        <v>39500.400300000001</v>
      </c>
      <c r="G20" s="331">
        <f>EIA_electricity_aeo2014!I49*1000</f>
        <v>40839.429899999988</v>
      </c>
      <c r="H20" s="14">
        <f>EIA_electricity_aeo2014!J49*1000</f>
        <v>40651.676699999996</v>
      </c>
      <c r="I20" s="14">
        <f>EIA_electricity_aeo2014!K49*1000</f>
        <v>41726.684099999991</v>
      </c>
      <c r="J20" s="14">
        <f>EIA_electricity_aeo2014!L49*1000</f>
        <v>38992.0026</v>
      </c>
      <c r="K20" s="14">
        <f>EIA_electricity_aeo2014!M49*1000</f>
        <v>38306.378099999994</v>
      </c>
      <c r="L20" s="14">
        <f>EIA_electricity_aeo2014!N49*1000</f>
        <v>39161.059200000003</v>
      </c>
      <c r="M20" s="14">
        <f>EIA_electricity_aeo2014!O49*1000</f>
        <v>39531.419699999999</v>
      </c>
      <c r="N20" s="190">
        <f>EIA_electricity_aeo2014!P49*1000</f>
        <v>39779.886899999998</v>
      </c>
      <c r="O20" s="14">
        <f>EIA_electricity_aeo2014!Q49*1000</f>
        <v>39884.359199999999</v>
      </c>
      <c r="P20" s="14">
        <f>EIA_electricity_aeo2014!R49*1000</f>
        <v>39993.338099999994</v>
      </c>
      <c r="Q20" s="14">
        <f>EIA_electricity_aeo2014!S49*1000</f>
        <v>40223.826599999993</v>
      </c>
      <c r="R20" s="14">
        <f>EIA_electricity_aeo2014!T49*1000</f>
        <v>40406.831999999995</v>
      </c>
      <c r="S20" s="14">
        <f>EIA_electricity_aeo2014!U49*1000</f>
        <v>40511.844600000004</v>
      </c>
      <c r="T20" s="14">
        <f>EIA_electricity_aeo2014!V49*1000</f>
        <v>40528.220699999998</v>
      </c>
      <c r="U20" s="14">
        <f>EIA_electricity_aeo2014!W49*1000</f>
        <v>40466.961599999995</v>
      </c>
      <c r="V20" s="14">
        <f>EIA_electricity_aeo2014!X49*1000</f>
        <v>40389.875700000004</v>
      </c>
      <c r="W20" s="14">
        <f>EIA_electricity_aeo2014!Y49*1000</f>
        <v>40412.4231</v>
      </c>
      <c r="X20" s="187">
        <f>EIA_electricity_aeo2014!Z49*1000</f>
        <v>40422.397499999992</v>
      </c>
      <c r="Y20" s="14">
        <f>EIA_electricity_aeo2014!AA49*1000</f>
        <v>40414.323899999996</v>
      </c>
      <c r="Z20" s="14">
        <f>EIA_electricity_aeo2014!AB49*1000</f>
        <v>40380.213299999996</v>
      </c>
      <c r="AA20" s="14">
        <f>EIA_electricity_aeo2014!AC49*1000</f>
        <v>40359.080999999998</v>
      </c>
      <c r="AB20" s="14">
        <f>EIA_electricity_aeo2014!AD49*1000</f>
        <v>40320.621299999999</v>
      </c>
      <c r="AC20" s="14">
        <f>EIA_electricity_aeo2014!AE49*1000</f>
        <v>40294.294799999996</v>
      </c>
      <c r="AD20" s="14">
        <f>EIA_electricity_aeo2014!AF49*1000</f>
        <v>40260.213900000002</v>
      </c>
      <c r="AE20" s="14">
        <f>EIA_electricity_aeo2014!AG49*1000</f>
        <v>40225.1895</v>
      </c>
      <c r="AF20" s="14">
        <f>EIA_electricity_aeo2014!AH49*1000</f>
        <v>40188.496500000001</v>
      </c>
      <c r="AG20" s="14">
        <f>EIA_electricity_aeo2014!AI49*1000</f>
        <v>40156.778100000003</v>
      </c>
      <c r="AH20" s="14">
        <f>EIA_electricity_aeo2014!AJ49*1000</f>
        <v>40127.383799999996</v>
      </c>
    </row>
    <row r="21" spans="1:34">
      <c r="A21" s="10" t="s">
        <v>222</v>
      </c>
      <c r="B21" s="37"/>
      <c r="C21" s="331">
        <f>EIA_electricity_aeo2014!E51*1000</f>
        <v>5484</v>
      </c>
      <c r="D21" s="331">
        <f>EIA_electricity_aeo2014!F51*1000</f>
        <v>5497</v>
      </c>
      <c r="E21" s="331">
        <f>EIA_electricity_aeo2014!G51*1000</f>
        <v>2994.7791463167105</v>
      </c>
      <c r="F21" s="331">
        <f>EIA_electricity_aeo2014!H51*1000</f>
        <v>5721.2479996329585</v>
      </c>
      <c r="G21" s="331">
        <f>EIA_electricity_aeo2014!I51*1000</f>
        <v>1794.3704120643768</v>
      </c>
      <c r="H21" s="14">
        <f>EIA_electricity_aeo2014!J51*1000</f>
        <v>2752.6384408391555</v>
      </c>
      <c r="I21" s="14">
        <f>EIA_electricity_aeo2014!K51*1000</f>
        <v>2608.7706600833521</v>
      </c>
      <c r="J21" s="14">
        <f>EIA_electricity_aeo2014!L51*1000</f>
        <v>6766.1639904661388</v>
      </c>
      <c r="K21" s="14">
        <f>EIA_electricity_aeo2014!M51*1000</f>
        <v>7749.745025521891</v>
      </c>
      <c r="L21" s="14">
        <f>EIA_electricity_aeo2014!N51*1000</f>
        <v>9185.626840699284</v>
      </c>
      <c r="M21" s="14">
        <f>EIA_electricity_aeo2014!O51*1000</f>
        <v>9917.5474705209999</v>
      </c>
      <c r="N21" s="190">
        <f>EIA_electricity_aeo2014!P51*1000</f>
        <v>11689.720109371743</v>
      </c>
      <c r="O21" s="14">
        <f>EIA_electricity_aeo2014!Q51*1000</f>
        <v>12228.753215456978</v>
      </c>
      <c r="P21" s="14">
        <f>EIA_electricity_aeo2014!R51*1000</f>
        <v>12430.34508097986</v>
      </c>
      <c r="Q21" s="14">
        <f>EIA_electricity_aeo2014!S51*1000</f>
        <v>13254.900154746116</v>
      </c>
      <c r="R21" s="14">
        <f>EIA_electricity_aeo2014!T51*1000</f>
        <v>13601.301225512298</v>
      </c>
      <c r="S21" s="14">
        <f>EIA_electricity_aeo2014!U51*1000</f>
        <v>13762.477507703485</v>
      </c>
      <c r="T21" s="14">
        <f>EIA_electricity_aeo2014!V51*1000</f>
        <v>14579.577400688648</v>
      </c>
      <c r="U21" s="14">
        <f>EIA_electricity_aeo2014!W51*1000</f>
        <v>15303.541459701817</v>
      </c>
      <c r="V21" s="14">
        <f>EIA_electricity_aeo2014!X51*1000</f>
        <v>15598.866417298235</v>
      </c>
      <c r="W21" s="14">
        <f>EIA_electricity_aeo2014!Y51*1000</f>
        <v>16266.073700411824</v>
      </c>
      <c r="X21" s="187">
        <f>EIA_electricity_aeo2014!Z51*1000</f>
        <v>16786.427391602283</v>
      </c>
      <c r="Y21" s="14">
        <f>EIA_electricity_aeo2014!AA51*1000</f>
        <v>16987.581619366978</v>
      </c>
      <c r="Z21" s="14">
        <f>EIA_electricity_aeo2014!AB51*1000</f>
        <v>17195.44133957343</v>
      </c>
      <c r="AA21" s="14">
        <f>EIA_electricity_aeo2014!AC51*1000</f>
        <v>17351.914334050085</v>
      </c>
      <c r="AB21" s="14">
        <f>EIA_electricity_aeo2014!AD51*1000</f>
        <v>16973.042746591862</v>
      </c>
      <c r="AC21" s="14">
        <f>EIA_electricity_aeo2014!AE51*1000</f>
        <v>17321.153145118955</v>
      </c>
      <c r="AD21" s="14">
        <f>EIA_electricity_aeo2014!AF51*1000</f>
        <v>17220.31479073473</v>
      </c>
      <c r="AE21" s="14">
        <f>EIA_electricity_aeo2014!AG51*1000</f>
        <v>17284.079043509431</v>
      </c>
      <c r="AF21" s="14">
        <f>EIA_electricity_aeo2014!AH51*1000</f>
        <v>17524.597661173499</v>
      </c>
      <c r="AG21" s="14">
        <f>EIA_electricity_aeo2014!AI51*1000</f>
        <v>18514.084169592785</v>
      </c>
      <c r="AH21" s="14">
        <f>EIA_electricity_aeo2014!AJ51*1000</f>
        <v>19135.684133822691</v>
      </c>
    </row>
    <row r="22" spans="1:34">
      <c r="A22" s="10" t="s">
        <v>351</v>
      </c>
      <c r="B22" s="37"/>
      <c r="C22" s="330">
        <f>SUM(C17,C20:C21)</f>
        <v>59151</v>
      </c>
      <c r="D22" s="330">
        <f t="shared" ref="D22:AH22" si="3">SUM(D17,D20:D21)</f>
        <v>63495</v>
      </c>
      <c r="E22" s="330">
        <f t="shared" si="3"/>
        <v>62677.853938204571</v>
      </c>
      <c r="F22" s="330">
        <f t="shared" si="3"/>
        <v>61645.551635066091</v>
      </c>
      <c r="G22" s="330">
        <f t="shared" si="3"/>
        <v>57749.063850928964</v>
      </c>
      <c r="H22" s="79">
        <f t="shared" si="3"/>
        <v>58774.671195462826</v>
      </c>
      <c r="I22" s="79">
        <f t="shared" si="3"/>
        <v>60356.442159623657</v>
      </c>
      <c r="J22" s="79">
        <f t="shared" si="3"/>
        <v>60664.285126340503</v>
      </c>
      <c r="K22" s="79">
        <f t="shared" si="3"/>
        <v>61939.860237495908</v>
      </c>
      <c r="L22" s="79">
        <f t="shared" si="3"/>
        <v>60996.501304186873</v>
      </c>
      <c r="M22" s="79">
        <f t="shared" si="3"/>
        <v>62175.998192855732</v>
      </c>
      <c r="N22" s="388">
        <f t="shared" si="3"/>
        <v>60966.346735404906</v>
      </c>
      <c r="O22" s="79">
        <f t="shared" si="3"/>
        <v>61688.721551046205</v>
      </c>
      <c r="P22" s="79">
        <f t="shared" si="3"/>
        <v>62106.697054919932</v>
      </c>
      <c r="Q22" s="79">
        <f t="shared" si="3"/>
        <v>63223.806708469747</v>
      </c>
      <c r="R22" s="79">
        <f t="shared" si="3"/>
        <v>63884.124793323761</v>
      </c>
      <c r="S22" s="79">
        <f t="shared" si="3"/>
        <v>64214.90259254491</v>
      </c>
      <c r="T22" s="79">
        <f t="shared" si="3"/>
        <v>65110.249807729859</v>
      </c>
      <c r="U22" s="79">
        <f t="shared" si="3"/>
        <v>65943.530807251314</v>
      </c>
      <c r="V22" s="79">
        <f t="shared" si="3"/>
        <v>66210.617210044773</v>
      </c>
      <c r="W22" s="79">
        <f t="shared" si="3"/>
        <v>66955.395465050577</v>
      </c>
      <c r="X22" s="184">
        <f t="shared" si="3"/>
        <v>67564.519467759164</v>
      </c>
      <c r="Y22" s="174">
        <f t="shared" si="3"/>
        <v>67809.220107116111</v>
      </c>
      <c r="Z22" s="174">
        <f t="shared" si="3"/>
        <v>68045.107972320475</v>
      </c>
      <c r="AA22" s="174">
        <f t="shared" si="3"/>
        <v>68246.120489034278</v>
      </c>
      <c r="AB22" s="174">
        <f t="shared" si="3"/>
        <v>67897.911200648814</v>
      </c>
      <c r="AC22" s="174">
        <f t="shared" si="3"/>
        <v>68282.979780497102</v>
      </c>
      <c r="AD22" s="174">
        <f t="shared" si="3"/>
        <v>68213.010177629738</v>
      </c>
      <c r="AE22" s="174">
        <f t="shared" si="3"/>
        <v>68301.111045736441</v>
      </c>
      <c r="AF22" s="174">
        <f t="shared" si="3"/>
        <v>68565.274982183211</v>
      </c>
      <c r="AG22" s="174">
        <f t="shared" si="3"/>
        <v>69591.713528553708</v>
      </c>
      <c r="AH22" s="174">
        <f t="shared" si="3"/>
        <v>70244.066388579973</v>
      </c>
    </row>
    <row r="23" spans="1:34">
      <c r="A23" s="10" t="s">
        <v>328</v>
      </c>
      <c r="B23" s="37"/>
      <c r="C23" s="330">
        <f>EIA_electricity_aeo2014!E50*1000+EIA_electricity_aeo2014!E55*1000</f>
        <v>777</v>
      </c>
      <c r="D23" s="330">
        <f>EIA_electricity_aeo2014!F50*1000+EIA_electricity_aeo2014!F55*1000</f>
        <v>781</v>
      </c>
      <c r="E23" s="330">
        <f>EIA_electricity_aeo2014!G50*1000+EIA_electricity_aeo2014!G55*1000</f>
        <v>462.99061599128549</v>
      </c>
      <c r="F23" s="330">
        <f>EIA_electricity_aeo2014!H50*1000+EIA_electricity_aeo2014!H55*1000</f>
        <v>243.29966131908174</v>
      </c>
      <c r="G23" s="330">
        <f>EIA_electricity_aeo2014!I50*1000+EIA_electricity_aeo2014!I55*1000</f>
        <v>416.67970306173754</v>
      </c>
      <c r="H23" s="330">
        <f>EIA_electricity_aeo2014!J50*1000+EIA_electricity_aeo2014!J55*1000</f>
        <v>415.59470306018011</v>
      </c>
      <c r="I23" s="330">
        <f>EIA_electricity_aeo2014!K50*1000+EIA_electricity_aeo2014!K55*1000</f>
        <v>424.94165328106612</v>
      </c>
      <c r="J23" s="330">
        <f>EIA_electricity_aeo2014!L50*1000+EIA_electricity_aeo2014!L55*1000</f>
        <v>402.73227565582442</v>
      </c>
      <c r="K23" s="330">
        <f>EIA_electricity_aeo2014!M50*1000+EIA_electricity_aeo2014!M55*1000</f>
        <v>396.78439182985915</v>
      </c>
      <c r="L23" s="330">
        <f>EIA_electricity_aeo2014!N50*1000+EIA_electricity_aeo2014!N55*1000</f>
        <v>405.44123831531476</v>
      </c>
      <c r="M23" s="330">
        <f>EIA_electricity_aeo2014!O50*1000+EIA_electricity_aeo2014!O55*1000</f>
        <v>409.38771292331472</v>
      </c>
      <c r="N23" s="330">
        <f>EIA_electricity_aeo2014!P50*1000+EIA_electricity_aeo2014!P55*1000</f>
        <v>413.85022509123758</v>
      </c>
      <c r="O23" s="330">
        <f>EIA_electricity_aeo2014!Q50*1000+EIA_electricity_aeo2014!Q55*1000</f>
        <v>414.5794905458061</v>
      </c>
      <c r="P23" s="330">
        <f>EIA_electricity_aeo2014!R50*1000+EIA_electricity_aeo2014!R55*1000</f>
        <v>414.71457881807271</v>
      </c>
      <c r="Q23" s="330">
        <f>EIA_electricity_aeo2014!S50*1000+EIA_electricity_aeo2014!S55*1000</f>
        <v>416.736653509772</v>
      </c>
      <c r="R23" s="330">
        <f>EIA_electricity_aeo2014!T50*1000+EIA_electricity_aeo2014!T55*1000</f>
        <v>418.62881118883666</v>
      </c>
      <c r="S23" s="330">
        <f>EIA_electricity_aeo2014!U50*1000+EIA_electricity_aeo2014!U55*1000</f>
        <v>419.69844872937159</v>
      </c>
      <c r="T23" s="330">
        <f>EIA_electricity_aeo2014!V50*1000+EIA_electricity_aeo2014!V55*1000</f>
        <v>419.75916529155143</v>
      </c>
      <c r="U23" s="330">
        <f>EIA_electricity_aeo2014!W50*1000+EIA_electricity_aeo2014!W55*1000</f>
        <v>419.42227653336454</v>
      </c>
      <c r="V23" s="330">
        <f>EIA_electricity_aeo2014!X50*1000+EIA_electricity_aeo2014!X55*1000</f>
        <v>418.81712900555272</v>
      </c>
      <c r="W23" s="330">
        <f>EIA_electricity_aeo2014!Y50*1000+EIA_electricity_aeo2014!Y55*1000</f>
        <v>419.15603293166293</v>
      </c>
      <c r="X23" s="330">
        <f>EIA_electricity_aeo2014!Z50*1000+EIA_electricity_aeo2014!Z55*1000</f>
        <v>419.5049587725311</v>
      </c>
      <c r="Y23" s="330">
        <f>EIA_electricity_aeo2014!AA50*1000+EIA_electricity_aeo2014!AA55*1000</f>
        <v>419.4810516832797</v>
      </c>
      <c r="Z23" s="330">
        <f>EIA_electricity_aeo2014!AB50*1000+EIA_electricity_aeo2014!AB55*1000</f>
        <v>419.39117646746809</v>
      </c>
      <c r="AA23" s="330">
        <f>EIA_electricity_aeo2014!AC50*1000+EIA_electricity_aeo2014!AC55*1000</f>
        <v>419.24146707873911</v>
      </c>
      <c r="AB23" s="330">
        <f>EIA_electricity_aeo2014!AD50*1000+EIA_electricity_aeo2014!AD55*1000</f>
        <v>419.10197572082711</v>
      </c>
      <c r="AC23" s="330">
        <f>EIA_electricity_aeo2014!AE50*1000+EIA_electricity_aeo2014!AE55*1000</f>
        <v>418.99332996685104</v>
      </c>
      <c r="AD23" s="330">
        <f>EIA_electricity_aeo2014!AF50*1000+EIA_electricity_aeo2014!AF55*1000</f>
        <v>418.67998696778625</v>
      </c>
      <c r="AE23" s="330">
        <f>EIA_electricity_aeo2014!AG50*1000+EIA_electricity_aeo2014!AG55*1000</f>
        <v>418.46932284516595</v>
      </c>
      <c r="AF23" s="330">
        <f>EIA_electricity_aeo2014!AH50*1000+EIA_electricity_aeo2014!AH55*1000</f>
        <v>418.36681051282085</v>
      </c>
      <c r="AG23" s="330">
        <f>EIA_electricity_aeo2014!AI50*1000+EIA_electricity_aeo2014!AI55*1000</f>
        <v>418.08310357483367</v>
      </c>
      <c r="AH23" s="330">
        <f>EIA_electricity_aeo2014!AJ50*1000+EIA_electricity_aeo2014!AJ55*1000</f>
        <v>416.87208426291636</v>
      </c>
    </row>
    <row r="24" spans="1:34">
      <c r="A24" s="10" t="s">
        <v>345</v>
      </c>
      <c r="B24" s="37"/>
      <c r="C24" s="330">
        <f>SUM(C22:C23)</f>
        <v>59928</v>
      </c>
      <c r="D24" s="330">
        <f t="shared" ref="D24:AH24" si="4">SUM(D22:D23)</f>
        <v>64276</v>
      </c>
      <c r="E24" s="330">
        <f t="shared" si="4"/>
        <v>63140.844554195857</v>
      </c>
      <c r="F24" s="330">
        <f t="shared" si="4"/>
        <v>61888.851296385175</v>
      </c>
      <c r="G24" s="330">
        <f t="shared" si="4"/>
        <v>58165.743553990702</v>
      </c>
      <c r="H24" s="83">
        <f t="shared" si="4"/>
        <v>59190.265898523008</v>
      </c>
      <c r="I24" s="83">
        <f t="shared" si="4"/>
        <v>60781.383812904722</v>
      </c>
      <c r="J24" s="83">
        <f t="shared" si="4"/>
        <v>61067.017401996331</v>
      </c>
      <c r="K24" s="83">
        <f t="shared" si="4"/>
        <v>62336.644629325769</v>
      </c>
      <c r="L24" s="83">
        <f t="shared" si="4"/>
        <v>61401.942542502191</v>
      </c>
      <c r="M24" s="83">
        <f t="shared" si="4"/>
        <v>62585.385905779047</v>
      </c>
      <c r="N24" s="388">
        <f t="shared" si="4"/>
        <v>61380.196960496141</v>
      </c>
      <c r="O24" s="83">
        <f t="shared" si="4"/>
        <v>62103.301041592014</v>
      </c>
      <c r="P24" s="83">
        <f t="shared" si="4"/>
        <v>62521.411633738004</v>
      </c>
      <c r="Q24" s="83">
        <f t="shared" si="4"/>
        <v>63640.543361979522</v>
      </c>
      <c r="R24" s="83">
        <f t="shared" si="4"/>
        <v>64302.753604512596</v>
      </c>
      <c r="S24" s="83">
        <f t="shared" si="4"/>
        <v>64634.601041274283</v>
      </c>
      <c r="T24" s="83">
        <f t="shared" si="4"/>
        <v>65530.008973021409</v>
      </c>
      <c r="U24" s="83">
        <f t="shared" si="4"/>
        <v>66362.953083784683</v>
      </c>
      <c r="V24" s="83">
        <f t="shared" si="4"/>
        <v>66629.43433905032</v>
      </c>
      <c r="W24" s="83">
        <f t="shared" si="4"/>
        <v>67374.551497982233</v>
      </c>
      <c r="X24" s="184">
        <f t="shared" si="4"/>
        <v>67984.024426531701</v>
      </c>
      <c r="Y24" s="174">
        <f t="shared" si="4"/>
        <v>68228.701158799391</v>
      </c>
      <c r="Z24" s="174">
        <f t="shared" si="4"/>
        <v>68464.499148787945</v>
      </c>
      <c r="AA24" s="174">
        <f t="shared" si="4"/>
        <v>68665.361956113018</v>
      </c>
      <c r="AB24" s="174">
        <f t="shared" si="4"/>
        <v>68317.013176369641</v>
      </c>
      <c r="AC24" s="174">
        <f t="shared" si="4"/>
        <v>68701.97311046395</v>
      </c>
      <c r="AD24" s="174">
        <f t="shared" si="4"/>
        <v>68631.69016459753</v>
      </c>
      <c r="AE24" s="174">
        <f t="shared" si="4"/>
        <v>68719.580368581606</v>
      </c>
      <c r="AF24" s="174">
        <f t="shared" si="4"/>
        <v>68983.641792696028</v>
      </c>
      <c r="AG24" s="174">
        <f t="shared" si="4"/>
        <v>70009.796632128535</v>
      </c>
      <c r="AH24" s="174">
        <f t="shared" si="4"/>
        <v>70660.938472842885</v>
      </c>
    </row>
    <row r="25" spans="1:34">
      <c r="A25" s="10" t="s">
        <v>346</v>
      </c>
      <c r="B25" s="37"/>
      <c r="C25" s="332">
        <f t="shared" ref="C25:AH25" si="5">C24/C4-1</f>
        <v>-5.0035024517169902E-4</v>
      </c>
      <c r="D25" s="332">
        <f t="shared" si="5"/>
        <v>-5.9085113661117017E-4</v>
      </c>
      <c r="E25" s="332">
        <f t="shared" si="5"/>
        <v>4.7513052370273812E-6</v>
      </c>
      <c r="F25" s="332">
        <f t="shared" si="5"/>
        <v>4.8474232101636261E-6</v>
      </c>
      <c r="G25" s="332">
        <f t="shared" si="5"/>
        <v>5.157701578051288E-6</v>
      </c>
      <c r="H25" s="82">
        <f t="shared" si="5"/>
        <v>5.0684266403866474E-6</v>
      </c>
      <c r="I25" s="82">
        <f t="shared" si="5"/>
        <v>4.9357461431309702E-6</v>
      </c>
      <c r="J25" s="82">
        <f t="shared" si="5"/>
        <v>4.9126596739501593E-6</v>
      </c>
      <c r="K25" s="82">
        <f t="shared" si="5"/>
        <v>4.8126017300198498E-6</v>
      </c>
      <c r="L25" s="82">
        <f t="shared" si="5"/>
        <v>4.8858627812453648E-6</v>
      </c>
      <c r="M25" s="82">
        <f t="shared" si="5"/>
        <v>4.7934742866129199E-6</v>
      </c>
      <c r="N25" s="199">
        <f t="shared" si="5"/>
        <v>4.8875937375125744E-6</v>
      </c>
      <c r="O25" s="82">
        <f t="shared" si="5"/>
        <v>4.8306844269152549E-6</v>
      </c>
      <c r="P25" s="82">
        <f t="shared" si="5"/>
        <v>4.7983791739980575E-6</v>
      </c>
      <c r="Q25" s="82">
        <f t="shared" si="5"/>
        <v>4.7139983154753651E-6</v>
      </c>
      <c r="R25" s="82">
        <f t="shared" si="5"/>
        <v>4.6654518324196204E-6</v>
      </c>
      <c r="S25" s="82">
        <f t="shared" si="5"/>
        <v>4.6414983245757213E-6</v>
      </c>
      <c r="T25" s="82">
        <f t="shared" si="5"/>
        <v>4.5780761839253614E-6</v>
      </c>
      <c r="U25" s="82">
        <f t="shared" si="5"/>
        <v>4.5206149248411265E-6</v>
      </c>
      <c r="V25" s="82">
        <f t="shared" si="5"/>
        <v>4.5025348589522451E-6</v>
      </c>
      <c r="W25" s="82">
        <f t="shared" si="5"/>
        <v>4.4527396347859849E-6</v>
      </c>
      <c r="X25" s="185">
        <f t="shared" si="5"/>
        <v>4.4128208998017726E-6</v>
      </c>
      <c r="Y25" s="172">
        <f t="shared" si="5"/>
        <v>4.3969958976042278E-6</v>
      </c>
      <c r="Z25" s="172">
        <f t="shared" si="5"/>
        <v>4.3818521759941831E-6</v>
      </c>
      <c r="AA25" s="172">
        <f t="shared" si="5"/>
        <v>4.3690341415825173E-6</v>
      </c>
      <c r="AB25" s="172">
        <f t="shared" si="5"/>
        <v>4.3913119653904431E-6</v>
      </c>
      <c r="AC25" s="172">
        <f t="shared" si="5"/>
        <v>4.3667058806651227E-6</v>
      </c>
      <c r="AD25" s="172">
        <f t="shared" si="5"/>
        <v>4.3711776680499526E-6</v>
      </c>
      <c r="AE25" s="172">
        <f t="shared" si="5"/>
        <v>4.3655870434200494E-6</v>
      </c>
      <c r="AF25" s="172">
        <f t="shared" si="5"/>
        <v>4.3488760068655097E-6</v>
      </c>
      <c r="AG25" s="172">
        <f t="shared" si="5"/>
        <v>4.2851329382642689E-6</v>
      </c>
      <c r="AH25" s="172">
        <f t="shared" si="5"/>
        <v>1.4152110583420807E-6</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0.33289899177925636</v>
      </c>
      <c r="D28" s="332">
        <f t="shared" si="6"/>
        <v>0.36042544981342439</v>
      </c>
      <c r="E28" s="332">
        <f t="shared" si="6"/>
        <v>0.39610055610619233</v>
      </c>
      <c r="F28" s="332">
        <f t="shared" si="6"/>
        <v>0.39128523753796024</v>
      </c>
      <c r="G28" s="332">
        <f t="shared" si="6"/>
        <v>0.4646919663164894</v>
      </c>
      <c r="H28" s="164">
        <f t="shared" si="6"/>
        <v>0.48982731559342491</v>
      </c>
      <c r="I28" s="164">
        <f t="shared" si="6"/>
        <v>0.45598686737232241</v>
      </c>
      <c r="J28" s="164">
        <f t="shared" si="6"/>
        <v>0.45057869951672191</v>
      </c>
      <c r="K28" s="164">
        <f t="shared" si="6"/>
        <v>0.45730671480864066</v>
      </c>
      <c r="L28" s="164">
        <f t="shared" ref="L28:L34" si="7">L10/L$18</f>
        <v>0.47336984308867702</v>
      </c>
      <c r="M28" s="164">
        <f t="shared" ref="M28:AH28" si="8">M10/M$18</f>
        <v>0.4833355271392904</v>
      </c>
      <c r="N28" s="185">
        <f t="shared" si="8"/>
        <v>0.49825475216287018</v>
      </c>
      <c r="O28" s="164">
        <f t="shared" si="8"/>
        <v>0.50755294525187455</v>
      </c>
      <c r="P28" s="164">
        <f t="shared" si="8"/>
        <v>0.51959621752533702</v>
      </c>
      <c r="Q28" s="164">
        <f t="shared" si="8"/>
        <v>0.52631577827756604</v>
      </c>
      <c r="R28" s="164">
        <f t="shared" si="8"/>
        <v>0.53984829896964737</v>
      </c>
      <c r="S28" s="164">
        <f t="shared" si="8"/>
        <v>0.54626270218136264</v>
      </c>
      <c r="T28" s="164">
        <f t="shared" si="8"/>
        <v>0.55224026722482578</v>
      </c>
      <c r="U28" s="164">
        <f t="shared" si="8"/>
        <v>0.5580417850465631</v>
      </c>
      <c r="V28" s="164">
        <f t="shared" si="8"/>
        <v>0.56255070371787841</v>
      </c>
      <c r="W28" s="164">
        <f t="shared" si="8"/>
        <v>0.56752428187143233</v>
      </c>
      <c r="X28" s="185">
        <f t="shared" si="8"/>
        <v>0.57345355243374052</v>
      </c>
      <c r="Y28" s="172">
        <f t="shared" si="8"/>
        <v>0.5779070841292091</v>
      </c>
      <c r="Z28" s="172">
        <f t="shared" si="8"/>
        <v>0.58204432955064866</v>
      </c>
      <c r="AA28" s="172">
        <f t="shared" si="8"/>
        <v>0.58732110853194952</v>
      </c>
      <c r="AB28" s="172">
        <f t="shared" si="8"/>
        <v>0.59256308164574711</v>
      </c>
      <c r="AC28" s="172">
        <f t="shared" si="8"/>
        <v>0.59721557526707758</v>
      </c>
      <c r="AD28" s="172">
        <f t="shared" si="8"/>
        <v>0.60221661257011327</v>
      </c>
      <c r="AE28" s="172">
        <f t="shared" si="8"/>
        <v>0.60613323639594752</v>
      </c>
      <c r="AF28" s="172">
        <f t="shared" si="8"/>
        <v>0.61020151756477603</v>
      </c>
      <c r="AG28" s="172">
        <f t="shared" si="8"/>
        <v>0.61456364050691759</v>
      </c>
      <c r="AH28" s="172">
        <f t="shared" si="8"/>
        <v>0.61793417603642076</v>
      </c>
    </row>
    <row r="29" spans="1:34">
      <c r="A29" s="9" t="s">
        <v>50</v>
      </c>
      <c r="B29" s="37"/>
      <c r="C29" s="332">
        <f t="shared" ref="C29:K29" si="9">C11/C$18</f>
        <v>0</v>
      </c>
      <c r="D29" s="332">
        <f t="shared" si="9"/>
        <v>0</v>
      </c>
      <c r="E29" s="332">
        <f t="shared" si="9"/>
        <v>3.2680534835043683E-11</v>
      </c>
      <c r="F29" s="332">
        <f t="shared" si="9"/>
        <v>2.9133280101721153E-11</v>
      </c>
      <c r="G29" s="332">
        <f t="shared" si="9"/>
        <v>3.2779823535324251E-11</v>
      </c>
      <c r="H29" s="164">
        <f t="shared" si="9"/>
        <v>3.0466837631459361E-11</v>
      </c>
      <c r="I29" s="164">
        <f t="shared" si="9"/>
        <v>2.798668833073089E-11</v>
      </c>
      <c r="J29" s="164">
        <f t="shared" si="9"/>
        <v>2.6031580168283521E-11</v>
      </c>
      <c r="K29" s="164">
        <f t="shared" si="9"/>
        <v>2.5700657626997137E-11</v>
      </c>
      <c r="L29" s="164">
        <f t="shared" si="7"/>
        <v>2.4939332071815797E-11</v>
      </c>
      <c r="M29" s="164">
        <f t="shared" ref="M29:AH29" si="10">M11/M$18</f>
        <v>2.4468146659100762E-11</v>
      </c>
      <c r="N29" s="185">
        <f t="shared" si="10"/>
        <v>2.3762098371560781E-11</v>
      </c>
      <c r="O29" s="164">
        <f t="shared" si="10"/>
        <v>2.3324964587822176E-11</v>
      </c>
      <c r="P29" s="164">
        <f t="shared" si="10"/>
        <v>2.275490601575941E-11</v>
      </c>
      <c r="Q29" s="164">
        <f t="shared" si="10"/>
        <v>2.2438012216316698E-11</v>
      </c>
      <c r="R29" s="164">
        <f t="shared" si="10"/>
        <v>2.179772658127343E-11</v>
      </c>
      <c r="S29" s="164">
        <f t="shared" si="10"/>
        <v>2.1495098899430504E-11</v>
      </c>
      <c r="T29" s="164">
        <f t="shared" si="10"/>
        <v>2.1212981510161629E-11</v>
      </c>
      <c r="U29" s="164">
        <f t="shared" si="10"/>
        <v>2.0941935440594687E-11</v>
      </c>
      <c r="V29" s="164">
        <f t="shared" si="10"/>
        <v>2.0729877510665211E-11</v>
      </c>
      <c r="W29" s="164">
        <f t="shared" si="10"/>
        <v>2.0496092539770656E-11</v>
      </c>
      <c r="X29" s="185">
        <f t="shared" si="10"/>
        <v>2.0219083933518509E-11</v>
      </c>
      <c r="Y29" s="172">
        <f t="shared" si="10"/>
        <v>2.001023523797647E-11</v>
      </c>
      <c r="Z29" s="172">
        <f t="shared" si="10"/>
        <v>1.9815831066949436E-11</v>
      </c>
      <c r="AA29" s="172">
        <f t="shared" si="10"/>
        <v>1.9561272069550854E-11</v>
      </c>
      <c r="AB29" s="172">
        <f t="shared" si="10"/>
        <v>1.9300309833881097E-11</v>
      </c>
      <c r="AC29" s="172">
        <f t="shared" si="10"/>
        <v>1.9067417732412624E-11</v>
      </c>
      <c r="AD29" s="172">
        <f t="shared" si="10"/>
        <v>1.8834171187102327E-11</v>
      </c>
      <c r="AE29" s="172">
        <f t="shared" si="10"/>
        <v>1.8625930393698959E-11</v>
      </c>
      <c r="AF29" s="172">
        <f t="shared" si="10"/>
        <v>1.8418927922918281E-11</v>
      </c>
      <c r="AG29" s="172">
        <f t="shared" si="10"/>
        <v>1.8188868592782426E-11</v>
      </c>
      <c r="AH29" s="172">
        <f t="shared" si="10"/>
        <v>1.7992034041815371E-11</v>
      </c>
    </row>
    <row r="30" spans="1:34">
      <c r="A30" s="9" t="s">
        <v>51</v>
      </c>
      <c r="B30" s="37"/>
      <c r="C30" s="332">
        <f t="shared" ref="C30:K30" si="11">C12/C$18</f>
        <v>0.21168739529266106</v>
      </c>
      <c r="D30" s="332">
        <f t="shared" si="11"/>
        <v>0.19293845263360987</v>
      </c>
      <c r="E30" s="332">
        <f t="shared" si="11"/>
        <v>0.26214528802235193</v>
      </c>
      <c r="F30" s="332">
        <f t="shared" si="11"/>
        <v>0.25204474862164472</v>
      </c>
      <c r="G30" s="332">
        <f t="shared" si="11"/>
        <v>0.11021486116695316</v>
      </c>
      <c r="H30" s="164">
        <f t="shared" si="11"/>
        <v>0.1105348629538354</v>
      </c>
      <c r="I30" s="164">
        <f t="shared" si="11"/>
        <v>0.10341510347617479</v>
      </c>
      <c r="J30" s="164">
        <f t="shared" si="11"/>
        <v>9.6215733489695948E-2</v>
      </c>
      <c r="K30" s="164">
        <f t="shared" si="11"/>
        <v>9.501350902736945E-2</v>
      </c>
      <c r="L30" s="164">
        <f t="shared" si="7"/>
        <v>9.2207732306771567E-2</v>
      </c>
      <c r="M30" s="164">
        <f t="shared" ref="M30:AH30" si="12">M12/M$18</f>
        <v>9.0449706297701632E-2</v>
      </c>
      <c r="N30" s="185">
        <f t="shared" si="12"/>
        <v>8.7815869973607324E-2</v>
      </c>
      <c r="O30" s="164">
        <f t="shared" si="12"/>
        <v>8.618689553852342E-2</v>
      </c>
      <c r="P30" s="164">
        <f t="shared" si="12"/>
        <v>8.4067648449709625E-2</v>
      </c>
      <c r="Q30" s="164">
        <f t="shared" si="12"/>
        <v>8.2882694847018115E-2</v>
      </c>
      <c r="R30" s="164">
        <f t="shared" si="12"/>
        <v>8.0504179181813296E-2</v>
      </c>
      <c r="S30" s="164">
        <f t="shared" si="12"/>
        <v>7.937339107503194E-2</v>
      </c>
      <c r="T30" s="164">
        <f t="shared" si="12"/>
        <v>7.8315533392309344E-2</v>
      </c>
      <c r="U30" s="164">
        <f t="shared" si="12"/>
        <v>7.7297550061305995E-2</v>
      </c>
      <c r="V30" s="164">
        <f t="shared" si="12"/>
        <v>7.64954457960179E-2</v>
      </c>
      <c r="W30" s="164">
        <f t="shared" si="12"/>
        <v>7.5603859043191349E-2</v>
      </c>
      <c r="X30" s="185">
        <f t="shared" si="12"/>
        <v>7.4523860946474937E-2</v>
      </c>
      <c r="Y30" s="172">
        <f t="shared" si="12"/>
        <v>7.3696667168116264E-2</v>
      </c>
      <c r="Z30" s="172">
        <f t="shared" si="12"/>
        <v>7.2924366125466961E-2</v>
      </c>
      <c r="AA30" s="172">
        <f t="shared" si="12"/>
        <v>7.1933290806514838E-2</v>
      </c>
      <c r="AB30" s="172">
        <f t="shared" si="12"/>
        <v>7.0923587337163446E-2</v>
      </c>
      <c r="AC30" s="172">
        <f t="shared" si="12"/>
        <v>7.0018659793095128E-2</v>
      </c>
      <c r="AD30" s="172">
        <f t="shared" si="12"/>
        <v>6.9115248235672583E-2</v>
      </c>
      <c r="AE30" s="172">
        <f t="shared" si="12"/>
        <v>6.830680287631867E-2</v>
      </c>
      <c r="AF30" s="172">
        <f t="shared" si="12"/>
        <v>6.7501888290847009E-2</v>
      </c>
      <c r="AG30" s="172">
        <f t="shared" si="12"/>
        <v>6.6621861874221894E-2</v>
      </c>
      <c r="AH30" s="172">
        <f t="shared" si="12"/>
        <v>6.5866754349200501E-2</v>
      </c>
    </row>
    <row r="31" spans="1:34">
      <c r="A31" s="9" t="s">
        <v>347</v>
      </c>
      <c r="B31" s="37"/>
      <c r="C31" s="332">
        <f t="shared" ref="C31:K31" si="13">C13/C$18</f>
        <v>0</v>
      </c>
      <c r="D31" s="332">
        <f t="shared" si="13"/>
        <v>0</v>
      </c>
      <c r="E31" s="332">
        <f t="shared" si="13"/>
        <v>6.5361069670087367E-5</v>
      </c>
      <c r="F31" s="332">
        <f t="shared" si="13"/>
        <v>5.8266560203442311E-5</v>
      </c>
      <c r="G31" s="332">
        <f t="shared" si="13"/>
        <v>6.5559647070648501E-5</v>
      </c>
      <c r="H31" s="164">
        <f t="shared" si="13"/>
        <v>6.0933675262918716E-5</v>
      </c>
      <c r="I31" s="164">
        <f t="shared" si="13"/>
        <v>5.597337666146178E-5</v>
      </c>
      <c r="J31" s="164">
        <f t="shared" si="13"/>
        <v>5.2063160336567041E-5</v>
      </c>
      <c r="K31" s="164">
        <f t="shared" si="13"/>
        <v>5.1401315253994274E-5</v>
      </c>
      <c r="L31" s="164">
        <f t="shared" si="7"/>
        <v>4.9878664143631589E-5</v>
      </c>
      <c r="M31" s="164">
        <f t="shared" ref="M31:AH31" si="14">M13/M$18</f>
        <v>4.8936293318201522E-5</v>
      </c>
      <c r="N31" s="185">
        <f t="shared" si="14"/>
        <v>4.7524196743121558E-5</v>
      </c>
      <c r="O31" s="164">
        <f t="shared" si="14"/>
        <v>4.6649929175644352E-5</v>
      </c>
      <c r="P31" s="164">
        <f t="shared" si="14"/>
        <v>4.5509812031518816E-5</v>
      </c>
      <c r="Q31" s="164">
        <f t="shared" si="14"/>
        <v>4.4876024432633395E-5</v>
      </c>
      <c r="R31" s="164">
        <f t="shared" si="14"/>
        <v>4.359545316254686E-5</v>
      </c>
      <c r="S31" s="164">
        <f t="shared" si="14"/>
        <v>4.2990197798861003E-5</v>
      </c>
      <c r="T31" s="164">
        <f t="shared" si="14"/>
        <v>4.2425963020323257E-5</v>
      </c>
      <c r="U31" s="164">
        <f t="shared" si="14"/>
        <v>4.1883870881189373E-5</v>
      </c>
      <c r="V31" s="164">
        <f t="shared" si="14"/>
        <v>4.145975502133042E-5</v>
      </c>
      <c r="W31" s="164">
        <f t="shared" si="14"/>
        <v>4.0992185079541316E-5</v>
      </c>
      <c r="X31" s="185">
        <f t="shared" si="14"/>
        <v>4.0438167867037018E-5</v>
      </c>
      <c r="Y31" s="172">
        <f t="shared" si="14"/>
        <v>4.0020470475952935E-5</v>
      </c>
      <c r="Z31" s="172">
        <f t="shared" si="14"/>
        <v>3.9631662133898871E-5</v>
      </c>
      <c r="AA31" s="172">
        <f t="shared" si="14"/>
        <v>3.9122544139101706E-5</v>
      </c>
      <c r="AB31" s="172">
        <f t="shared" si="14"/>
        <v>3.8600619667762195E-5</v>
      </c>
      <c r="AC31" s="172">
        <f t="shared" si="14"/>
        <v>3.8134835464825249E-5</v>
      </c>
      <c r="AD31" s="172">
        <f t="shared" si="14"/>
        <v>3.766834237420465E-5</v>
      </c>
      <c r="AE31" s="172">
        <f t="shared" si="14"/>
        <v>3.7251860787397917E-5</v>
      </c>
      <c r="AF31" s="172">
        <f t="shared" si="14"/>
        <v>3.6837855845836563E-5</v>
      </c>
      <c r="AG31" s="172">
        <f t="shared" si="14"/>
        <v>3.6377737185564851E-5</v>
      </c>
      <c r="AH31" s="172">
        <f t="shared" si="14"/>
        <v>0</v>
      </c>
    </row>
    <row r="32" spans="1:34">
      <c r="A32" s="9" t="s">
        <v>348</v>
      </c>
      <c r="B32" s="37"/>
      <c r="C32" s="332">
        <f t="shared" ref="C32:K32" si="15">C14/C$18</f>
        <v>0</v>
      </c>
      <c r="D32" s="332">
        <f t="shared" si="15"/>
        <v>0</v>
      </c>
      <c r="E32" s="332">
        <f t="shared" si="15"/>
        <v>3.2680534835043683E-5</v>
      </c>
      <c r="F32" s="332">
        <f t="shared" si="15"/>
        <v>2.9133280101721155E-5</v>
      </c>
      <c r="G32" s="332">
        <f t="shared" si="15"/>
        <v>3.277982353532425E-5</v>
      </c>
      <c r="H32" s="164">
        <f t="shared" si="15"/>
        <v>3.0466837631459358E-5</v>
      </c>
      <c r="I32" s="164">
        <f t="shared" si="15"/>
        <v>2.798668833073089E-5</v>
      </c>
      <c r="J32" s="164">
        <f t="shared" si="15"/>
        <v>2.6031580168283521E-5</v>
      </c>
      <c r="K32" s="164">
        <f t="shared" si="15"/>
        <v>2.5700657626997137E-5</v>
      </c>
      <c r="L32" s="164">
        <f t="shared" si="7"/>
        <v>2.4939332071815795E-5</v>
      </c>
      <c r="M32" s="164">
        <f t="shared" ref="M32:AH32" si="16">M14/M$18</f>
        <v>2.4468146659100761E-5</v>
      </c>
      <c r="N32" s="185">
        <f t="shared" si="16"/>
        <v>2.3762098371560779E-5</v>
      </c>
      <c r="O32" s="164">
        <f t="shared" si="16"/>
        <v>2.3324964587822176E-5</v>
      </c>
      <c r="P32" s="164">
        <f t="shared" si="16"/>
        <v>2.2754906015759408E-5</v>
      </c>
      <c r="Q32" s="164">
        <f t="shared" si="16"/>
        <v>2.2438012216316698E-5</v>
      </c>
      <c r="R32" s="164">
        <f t="shared" si="16"/>
        <v>2.179772658127343E-5</v>
      </c>
      <c r="S32" s="164">
        <f t="shared" si="16"/>
        <v>2.1495098899430502E-5</v>
      </c>
      <c r="T32" s="164">
        <f t="shared" si="16"/>
        <v>2.1212981510161628E-5</v>
      </c>
      <c r="U32" s="164">
        <f t="shared" si="16"/>
        <v>2.0941935440594687E-5</v>
      </c>
      <c r="V32" s="164">
        <f t="shared" si="16"/>
        <v>2.072987751066521E-5</v>
      </c>
      <c r="W32" s="164">
        <f t="shared" si="16"/>
        <v>2.0496092539770658E-5</v>
      </c>
      <c r="X32" s="185">
        <f t="shared" si="16"/>
        <v>2.0219083933518509E-5</v>
      </c>
      <c r="Y32" s="172">
        <f t="shared" si="16"/>
        <v>2.0010235237976467E-5</v>
      </c>
      <c r="Z32" s="172">
        <f t="shared" si="16"/>
        <v>1.9815831066949436E-5</v>
      </c>
      <c r="AA32" s="172">
        <f t="shared" si="16"/>
        <v>1.9561272069550853E-5</v>
      </c>
      <c r="AB32" s="172">
        <f t="shared" si="16"/>
        <v>1.9300309833881097E-5</v>
      </c>
      <c r="AC32" s="172">
        <f t="shared" si="16"/>
        <v>1.9067417732412625E-5</v>
      </c>
      <c r="AD32" s="172">
        <f t="shared" si="16"/>
        <v>1.8834171187102325E-5</v>
      </c>
      <c r="AE32" s="172">
        <f t="shared" si="16"/>
        <v>1.8625930393698958E-5</v>
      </c>
      <c r="AF32" s="172">
        <f t="shared" si="16"/>
        <v>1.8418927922918281E-5</v>
      </c>
      <c r="AG32" s="172">
        <f t="shared" si="16"/>
        <v>1.8188868592782426E-5</v>
      </c>
      <c r="AH32" s="172">
        <f t="shared" si="16"/>
        <v>1.799203404181537E-5</v>
      </c>
    </row>
    <row r="33" spans="1:36">
      <c r="A33" s="9" t="s">
        <v>344</v>
      </c>
      <c r="B33" s="37"/>
      <c r="C33" s="332">
        <f t="shared" ref="C33:K33" si="17">C15/C$18</f>
        <v>4.3289855888069744E-6</v>
      </c>
      <c r="D33" s="332">
        <f t="shared" si="17"/>
        <v>4.1050734602895715E-6</v>
      </c>
      <c r="E33" s="332">
        <f t="shared" si="17"/>
        <v>3.2680534835043683E-6</v>
      </c>
      <c r="F33" s="332">
        <f t="shared" si="17"/>
        <v>2.9133280101721153E-6</v>
      </c>
      <c r="G33" s="332">
        <f t="shared" si="17"/>
        <v>3.2779823535324246E-6</v>
      </c>
      <c r="H33" s="164">
        <f t="shared" si="17"/>
        <v>3.0466837631459358E-6</v>
      </c>
      <c r="I33" s="164">
        <f t="shared" si="17"/>
        <v>2.7986688330730891E-6</v>
      </c>
      <c r="J33" s="164">
        <f t="shared" si="17"/>
        <v>2.6031580168283517E-6</v>
      </c>
      <c r="K33" s="164">
        <f t="shared" si="17"/>
        <v>2.5700657626997134E-6</v>
      </c>
      <c r="L33" s="164">
        <f t="shared" si="7"/>
        <v>2.4939332071815795E-6</v>
      </c>
      <c r="M33" s="164">
        <f t="shared" ref="M33:AH33" si="18">M15/M$18</f>
        <v>2.4468146659100761E-6</v>
      </c>
      <c r="N33" s="185">
        <f t="shared" si="18"/>
        <v>2.3762098371560779E-6</v>
      </c>
      <c r="O33" s="164">
        <f t="shared" si="18"/>
        <v>2.3324964587822173E-6</v>
      </c>
      <c r="P33" s="164">
        <f t="shared" si="18"/>
        <v>2.2754906015759411E-6</v>
      </c>
      <c r="Q33" s="164">
        <f t="shared" si="18"/>
        <v>2.2438012216316698E-6</v>
      </c>
      <c r="R33" s="164">
        <f t="shared" si="18"/>
        <v>2.1797726581273429E-6</v>
      </c>
      <c r="S33" s="164">
        <f t="shared" si="18"/>
        <v>2.1495098899430502E-6</v>
      </c>
      <c r="T33" s="164">
        <f t="shared" si="18"/>
        <v>2.1212981510161628E-6</v>
      </c>
      <c r="U33" s="164">
        <f t="shared" si="18"/>
        <v>2.0941935440594686E-6</v>
      </c>
      <c r="V33" s="164">
        <f t="shared" si="18"/>
        <v>2.0729877510665209E-6</v>
      </c>
      <c r="W33" s="164">
        <f t="shared" si="18"/>
        <v>2.0496092539770655E-6</v>
      </c>
      <c r="X33" s="185">
        <f t="shared" si="18"/>
        <v>2.0219083933518506E-6</v>
      </c>
      <c r="Y33" s="172">
        <f t="shared" si="18"/>
        <v>2.0010235237976466E-6</v>
      </c>
      <c r="Z33" s="172">
        <f t="shared" si="18"/>
        <v>1.9815831066949437E-6</v>
      </c>
      <c r="AA33" s="172">
        <f t="shared" si="18"/>
        <v>1.9561272069550851E-6</v>
      </c>
      <c r="AB33" s="172">
        <f t="shared" si="18"/>
        <v>1.9300309833881096E-6</v>
      </c>
      <c r="AC33" s="172">
        <f t="shared" si="18"/>
        <v>1.9067417732412622E-6</v>
      </c>
      <c r="AD33" s="172">
        <f t="shared" si="18"/>
        <v>1.8834171187102323E-6</v>
      </c>
      <c r="AE33" s="172">
        <f t="shared" si="18"/>
        <v>1.8625930393698957E-6</v>
      </c>
      <c r="AF33" s="172">
        <f t="shared" si="18"/>
        <v>1.8418927922918281E-6</v>
      </c>
      <c r="AG33" s="172">
        <f t="shared" si="18"/>
        <v>1.8188868592782424E-6</v>
      </c>
      <c r="AH33" s="172">
        <f t="shared" si="18"/>
        <v>1.7992034041815369E-6</v>
      </c>
    </row>
    <row r="34" spans="1:36">
      <c r="A34" s="9" t="s">
        <v>53</v>
      </c>
      <c r="B34" s="37"/>
      <c r="C34" s="332">
        <f t="shared" ref="C34:K34" si="19">C16/C$18</f>
        <v>0.45540928394249369</v>
      </c>
      <c r="D34" s="332">
        <f t="shared" si="19"/>
        <v>0.44663199247950536</v>
      </c>
      <c r="E34" s="332">
        <f t="shared" si="19"/>
        <v>0.34165284618078656</v>
      </c>
      <c r="F34" s="332">
        <f t="shared" si="19"/>
        <v>0.35657970064294647</v>
      </c>
      <c r="G34" s="332">
        <f t="shared" si="19"/>
        <v>0.42499155503081815</v>
      </c>
      <c r="H34" s="164">
        <f t="shared" si="19"/>
        <v>0.39954337422561537</v>
      </c>
      <c r="I34" s="164">
        <f t="shared" si="19"/>
        <v>0.44051127038969085</v>
      </c>
      <c r="J34" s="164">
        <f t="shared" si="19"/>
        <v>0.45312486906902893</v>
      </c>
      <c r="K34" s="164">
        <f t="shared" si="19"/>
        <v>0.44760010409964546</v>
      </c>
      <c r="L34" s="164">
        <f t="shared" si="7"/>
        <v>0.43434511265018944</v>
      </c>
      <c r="M34" s="164">
        <f t="shared" ref="M34:AH34" si="20">M16/M$18</f>
        <v>0.42613891528389658</v>
      </c>
      <c r="N34" s="185">
        <f t="shared" si="20"/>
        <v>0.41385571533480847</v>
      </c>
      <c r="O34" s="164">
        <f t="shared" si="20"/>
        <v>0.40618785179605482</v>
      </c>
      <c r="P34" s="164">
        <f t="shared" si="20"/>
        <v>0.39626559379354953</v>
      </c>
      <c r="Q34" s="164">
        <f t="shared" si="20"/>
        <v>0.39073196901510737</v>
      </c>
      <c r="R34" s="164">
        <f t="shared" si="20"/>
        <v>0.37957994887433977</v>
      </c>
      <c r="S34" s="164">
        <f t="shared" si="20"/>
        <v>0.37429727191552209</v>
      </c>
      <c r="T34" s="164">
        <f t="shared" si="20"/>
        <v>0.36937843911897045</v>
      </c>
      <c r="U34" s="164">
        <f t="shared" si="20"/>
        <v>0.36459574487132324</v>
      </c>
      <c r="V34" s="164">
        <f t="shared" si="20"/>
        <v>0.36088958784509068</v>
      </c>
      <c r="W34" s="164">
        <f t="shared" si="20"/>
        <v>0.35680832117800682</v>
      </c>
      <c r="X34" s="185">
        <f t="shared" si="20"/>
        <v>0.35195990743937172</v>
      </c>
      <c r="Y34" s="172">
        <f t="shared" si="20"/>
        <v>0.34833421695342676</v>
      </c>
      <c r="Z34" s="172">
        <f t="shared" si="20"/>
        <v>0.34496987522776101</v>
      </c>
      <c r="AA34" s="172">
        <f t="shared" si="20"/>
        <v>0.34068496069855891</v>
      </c>
      <c r="AB34" s="172">
        <f t="shared" si="20"/>
        <v>0.33645350003730407</v>
      </c>
      <c r="AC34" s="172">
        <f t="shared" si="20"/>
        <v>0.33270665592578963</v>
      </c>
      <c r="AD34" s="172">
        <f t="shared" si="20"/>
        <v>0.32860975324470004</v>
      </c>
      <c r="AE34" s="172">
        <f t="shared" si="20"/>
        <v>0.32550222032488735</v>
      </c>
      <c r="AF34" s="172">
        <f t="shared" si="20"/>
        <v>0.32223949544939701</v>
      </c>
      <c r="AG34" s="172">
        <f t="shared" si="20"/>
        <v>0.31875811210803406</v>
      </c>
      <c r="AH34" s="172">
        <f t="shared" si="20"/>
        <v>0.31617927835894072</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377</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209.0985</v>
      </c>
      <c r="D42" s="331">
        <f>D7*Inputs!$C$48</f>
        <v>316.79849999999993</v>
      </c>
      <c r="E42" s="331">
        <f>E7*Inputs!$C$48</f>
        <v>406.10231248280058</v>
      </c>
      <c r="F42" s="331">
        <f>F7*Inputs!$C$48</f>
        <v>352.23035767318265</v>
      </c>
      <c r="G42" s="331">
        <f>G7*Inputs!$C$48</f>
        <v>294.58747225796168</v>
      </c>
      <c r="H42" s="14">
        <f>H7*Inputs!$C$48</f>
        <v>300.96599429526782</v>
      </c>
      <c r="I42" s="14">
        <f>I7*Inputs!$C$48</f>
        <v>307.16449552664773</v>
      </c>
      <c r="J42" s="14">
        <f>J7*Inputs!$C$48</f>
        <v>313.4023567314826</v>
      </c>
      <c r="K42" s="14">
        <f>K7*Inputs!$C$48</f>
        <v>319.69303384533413</v>
      </c>
      <c r="L42" s="14">
        <f>L7*Inputs!$C$48</f>
        <v>319.69319727774979</v>
      </c>
      <c r="M42" s="14">
        <f>M7*Inputs!$C$48</f>
        <v>319.69319727774979</v>
      </c>
      <c r="N42" s="190">
        <f>N7*Inputs!$C$48</f>
        <v>319.69319727774979</v>
      </c>
      <c r="O42" s="14">
        <f>O7*Inputs!$C$48</f>
        <v>319.69319727774979</v>
      </c>
      <c r="P42" s="14">
        <f>P7*Inputs!$C$48</f>
        <v>319.69319727774979</v>
      </c>
      <c r="Q42" s="14">
        <f>Q7*Inputs!$C$48</f>
        <v>319.69319727774979</v>
      </c>
      <c r="R42" s="14">
        <f>R7*Inputs!$C$48</f>
        <v>319.69319727774979</v>
      </c>
      <c r="S42" s="14">
        <f>S7*Inputs!$C$48</f>
        <v>319.69319727774979</v>
      </c>
      <c r="T42" s="14">
        <f>T7*Inputs!$C$48</f>
        <v>319.69319727774979</v>
      </c>
      <c r="U42" s="14">
        <f>U7*Inputs!$C$48</f>
        <v>336.12760689995991</v>
      </c>
      <c r="V42" s="14">
        <f>V7*Inputs!$C$48</f>
        <v>336.12760689995991</v>
      </c>
      <c r="W42" s="14">
        <f>W7*Inputs!$C$48</f>
        <v>336.12760689995991</v>
      </c>
      <c r="X42" s="187">
        <f>X7*Inputs!$C$48</f>
        <v>337.92043326177867</v>
      </c>
      <c r="Y42" s="14">
        <f>Y7*Inputs!$C$48</f>
        <v>337.92043326177867</v>
      </c>
      <c r="Z42" s="14">
        <f>Z7*Inputs!$C$48</f>
        <v>339.8870972364619</v>
      </c>
      <c r="AA42" s="14">
        <f>AA7*Inputs!$C$48</f>
        <v>339.8870972364619</v>
      </c>
      <c r="AB42" s="14">
        <f>AB7*Inputs!$C$48</f>
        <v>339.8870972364619</v>
      </c>
      <c r="AC42" s="14">
        <f>AC7*Inputs!$C$48</f>
        <v>339.8870972364619</v>
      </c>
      <c r="AD42" s="14">
        <f>AD7*Inputs!$C$48</f>
        <v>339.8870972364619</v>
      </c>
      <c r="AE42" s="14">
        <f>AE7*Inputs!$C$48</f>
        <v>339.8870972364619</v>
      </c>
      <c r="AF42" s="14">
        <f>AF7*Inputs!$C$48</f>
        <v>339.8870972364619</v>
      </c>
      <c r="AG42" s="14">
        <f>AG7*Inputs!$C$48</f>
        <v>339.8870972364619</v>
      </c>
      <c r="AH42" s="14">
        <f>AH7*Inputs!$C$48</f>
        <v>339.8870972364619</v>
      </c>
    </row>
    <row r="43" spans="1:36" ht="15">
      <c r="A43" s="8" t="s">
        <v>59</v>
      </c>
      <c r="B43" s="34">
        <v>0</v>
      </c>
      <c r="C43" s="331">
        <f>C8*Inputs!$C$53</f>
        <v>1775.6200000000001</v>
      </c>
      <c r="D43" s="331">
        <f>D8*Inputs!$C$53</f>
        <v>1859.3400000000001</v>
      </c>
      <c r="E43" s="331">
        <f>E8*Inputs!$C$53</f>
        <v>1607.3120000000004</v>
      </c>
      <c r="F43" s="331">
        <f>F8*Inputs!$C$53</f>
        <v>1490.0480560000003</v>
      </c>
      <c r="G43" s="331">
        <f>G8*Inputs!$C$53</f>
        <v>1414.0966000000003</v>
      </c>
      <c r="H43" s="14">
        <f>H8*Inputs!$C$53</f>
        <v>1411.4322320000001</v>
      </c>
      <c r="I43" s="14">
        <f>I8*Inputs!$C$53</f>
        <v>1456.0135520000001</v>
      </c>
      <c r="J43" s="14">
        <f>J8*Inputs!$C$53</f>
        <v>1256.5394240000001</v>
      </c>
      <c r="K43" s="14">
        <f>K8*Inputs!$C$53</f>
        <v>1380.6098880000002</v>
      </c>
      <c r="L43" s="14">
        <f>L8*Inputs!$C$53</f>
        <v>911.23155200000019</v>
      </c>
      <c r="M43" s="14">
        <f>M8*Inputs!$C$53</f>
        <v>911.23155200000019</v>
      </c>
      <c r="N43" s="190">
        <f>N8*Inputs!$C$53</f>
        <v>441.98968800000011</v>
      </c>
      <c r="O43" s="14">
        <f>O8*Inputs!$C$53</f>
        <v>441.98968800000011</v>
      </c>
      <c r="P43" s="14">
        <f>P8*Inputs!$C$53</f>
        <v>441.98968800000011</v>
      </c>
      <c r="Q43" s="14">
        <f>Q8*Inputs!$C$53</f>
        <v>441.98968800000011</v>
      </c>
      <c r="R43" s="14">
        <f>R8*Inputs!$C$53</f>
        <v>441.98968800000011</v>
      </c>
      <c r="S43" s="14">
        <f>S8*Inputs!$C$53</f>
        <v>441.98968800000011</v>
      </c>
      <c r="T43" s="14">
        <f>T8*Inputs!$C$53</f>
        <v>441.98968800000011</v>
      </c>
      <c r="U43" s="14">
        <f>U8*Inputs!$C$53</f>
        <v>441.98968800000011</v>
      </c>
      <c r="V43" s="14">
        <f>V8*Inputs!$C$53</f>
        <v>441.98968800000011</v>
      </c>
      <c r="W43" s="14">
        <f>W8*Inputs!$C$53</f>
        <v>441.98968800000011</v>
      </c>
      <c r="X43" s="187">
        <f>X8*Inputs!$C$53</f>
        <v>441.98968800000011</v>
      </c>
      <c r="Y43" s="14">
        <f>Y8*Inputs!$C$53</f>
        <v>441.98968800000011</v>
      </c>
      <c r="Z43" s="14">
        <f>Z8*Inputs!$C$53</f>
        <v>441.98968800000011</v>
      </c>
      <c r="AA43" s="14">
        <f>AA8*Inputs!$C$53</f>
        <v>441.98968800000011</v>
      </c>
      <c r="AB43" s="14">
        <f>AB8*Inputs!$C$53</f>
        <v>441.98968800000011</v>
      </c>
      <c r="AC43" s="14">
        <f>AC8*Inputs!$C$53</f>
        <v>441.98968800000011</v>
      </c>
      <c r="AD43" s="14">
        <f>AD8*Inputs!$C$53</f>
        <v>441.98968800000011</v>
      </c>
      <c r="AE43" s="14">
        <f>AE8*Inputs!$C$53</f>
        <v>441.98968800000011</v>
      </c>
      <c r="AF43" s="14">
        <f>AF8*Inputs!$C$53</f>
        <v>441.98968800000011</v>
      </c>
      <c r="AG43" s="14">
        <f>AG8*Inputs!$C$53</f>
        <v>441.98968800000011</v>
      </c>
      <c r="AH43" s="14">
        <f>AH8*Inputs!$C$53</f>
        <v>441.98968800000011</v>
      </c>
    </row>
    <row r="44" spans="1:36" ht="15">
      <c r="A44" s="8" t="s">
        <v>121</v>
      </c>
      <c r="B44" s="34">
        <v>1</v>
      </c>
      <c r="C44" s="331">
        <f>C10*Inputs!$C$46</f>
        <v>161.48999999999998</v>
      </c>
      <c r="D44" s="331">
        <f>D10*Inputs!$C$46</f>
        <v>184.38</v>
      </c>
      <c r="E44" s="331">
        <f>E10*Inputs!$C$46</f>
        <v>254.52801553634427</v>
      </c>
      <c r="F44" s="331">
        <f>F10*Inputs!$C$46</f>
        <v>282.04822661941574</v>
      </c>
      <c r="G44" s="331">
        <f>G10*Inputs!$C$46</f>
        <v>297.69932355280292</v>
      </c>
      <c r="H44" s="14">
        <f>H10*Inputs!$C$46</f>
        <v>337.62524853713239</v>
      </c>
      <c r="I44" s="14">
        <f>I10*Inputs!$C$46</f>
        <v>342.15281571217946</v>
      </c>
      <c r="J44" s="14">
        <f>J10*Inputs!$C$46</f>
        <v>363.48744980835636</v>
      </c>
      <c r="K44" s="14">
        <f>K10*Inputs!$C$46</f>
        <v>373.66518594036148</v>
      </c>
      <c r="L44" s="14">
        <f>L10*Inputs!$C$46</f>
        <v>398.59795267317458</v>
      </c>
      <c r="M44" s="14">
        <f>M10*Inputs!$C$46</f>
        <v>414.8269262621024</v>
      </c>
      <c r="N44" s="190">
        <f>N10*Inputs!$C$46</f>
        <v>440.33778632711739</v>
      </c>
      <c r="O44" s="14">
        <f>O10*Inputs!$C$46</f>
        <v>456.96154479283388</v>
      </c>
      <c r="P44" s="14">
        <f>P10*Inputs!$C$46</f>
        <v>479.52386885162548</v>
      </c>
      <c r="Q44" s="14">
        <f>Q10*Inputs!$C$46</f>
        <v>492.58513799148056</v>
      </c>
      <c r="R44" s="14">
        <f>R10*Inputs!$C$46</f>
        <v>520.09159010656299</v>
      </c>
      <c r="S44" s="14">
        <f>S10*Inputs!$C$46</f>
        <v>533.68057525488041</v>
      </c>
      <c r="T44" s="14">
        <f>T10*Inputs!$C$46</f>
        <v>546.69569226589022</v>
      </c>
      <c r="U44" s="14">
        <f>U10*Inputs!$C$46</f>
        <v>559.58903699328016</v>
      </c>
      <c r="V44" s="14">
        <f>V10*Inputs!$C$46</f>
        <v>569.88107006409211</v>
      </c>
      <c r="W44" s="14">
        <f>W10*Inputs!$C$46</f>
        <v>581.47717162060769</v>
      </c>
      <c r="X44" s="187">
        <f>X10*Inputs!$C$46</f>
        <v>595.60188981385375</v>
      </c>
      <c r="Y44" s="14">
        <f>Y10*Inputs!$C$46</f>
        <v>606.49205880803265</v>
      </c>
      <c r="Z44" s="14">
        <f>Z10*Inputs!$C$46</f>
        <v>616.82656050444871</v>
      </c>
      <c r="AA44" s="14">
        <f>AA10*Inputs!$C$46</f>
        <v>630.51846706685751</v>
      </c>
      <c r="AB44" s="14">
        <f>AB10*Inputs!$C$46</f>
        <v>644.7474067341625</v>
      </c>
      <c r="AC44" s="14">
        <f>AC10*Inputs!$C$46</f>
        <v>657.74648967224016</v>
      </c>
      <c r="AD44" s="14">
        <f>AD10*Inputs!$C$46</f>
        <v>671.46829761390075</v>
      </c>
      <c r="AE44" s="14">
        <f>AE10*Inputs!$C$46</f>
        <v>683.39125591390462</v>
      </c>
      <c r="AF44" s="14">
        <f>AF10*Inputs!$C$46</f>
        <v>695.70997413567272</v>
      </c>
      <c r="AG44" s="14">
        <f>AG10*Inputs!$C$46</f>
        <v>709.54586233947884</v>
      </c>
      <c r="AH44" s="14">
        <f>AH10*Inputs!$C$46</f>
        <v>721.24239352848144</v>
      </c>
    </row>
    <row r="45" spans="1:36" ht="15">
      <c r="A45" s="8" t="s">
        <v>50</v>
      </c>
      <c r="B45" s="34">
        <v>1</v>
      </c>
      <c r="C45" s="331">
        <f>C11*Inputs!$C$49</f>
        <v>0</v>
      </c>
      <c r="D45" s="331">
        <f>D11*Inputs!$C$49</f>
        <v>0</v>
      </c>
      <c r="E45" s="331">
        <f>E11*Inputs!$C$49</f>
        <v>2.5000000000000002E-8</v>
      </c>
      <c r="F45" s="331">
        <f>F11*Inputs!$C$49</f>
        <v>2.5000000000000002E-8</v>
      </c>
      <c r="G45" s="331">
        <f>G11*Inputs!$C$49</f>
        <v>2.5000000000000002E-8</v>
      </c>
      <c r="H45" s="14">
        <f>H11*Inputs!$C$49</f>
        <v>2.5000000000000002E-8</v>
      </c>
      <c r="I45" s="14">
        <f>I11*Inputs!$C$49</f>
        <v>2.5000000000000002E-8</v>
      </c>
      <c r="J45" s="14">
        <f>J11*Inputs!$C$49</f>
        <v>2.5000000000000002E-8</v>
      </c>
      <c r="K45" s="14">
        <f>K11*Inputs!$C$49</f>
        <v>2.5000000000000002E-8</v>
      </c>
      <c r="L45" s="14">
        <f>L11*Inputs!$C$49</f>
        <v>2.5000000000000002E-8</v>
      </c>
      <c r="M45" s="14">
        <f>M11*Inputs!$C$49</f>
        <v>2.5000000000000002E-8</v>
      </c>
      <c r="N45" s="190">
        <f>N11*Inputs!$C$49</f>
        <v>2.5000000000000002E-8</v>
      </c>
      <c r="O45" s="14">
        <f>O11*Inputs!$C$49</f>
        <v>2.5000000000000002E-8</v>
      </c>
      <c r="P45" s="14">
        <f>P11*Inputs!$C$49</f>
        <v>2.5000000000000002E-8</v>
      </c>
      <c r="Q45" s="14">
        <f>Q11*Inputs!$C$49</f>
        <v>2.5000000000000002E-8</v>
      </c>
      <c r="R45" s="14">
        <f>R11*Inputs!$C$49</f>
        <v>2.5000000000000002E-8</v>
      </c>
      <c r="S45" s="14">
        <f>S11*Inputs!$C$49</f>
        <v>2.5000000000000002E-8</v>
      </c>
      <c r="T45" s="14">
        <f>T11*Inputs!$C$49</f>
        <v>2.5000000000000002E-8</v>
      </c>
      <c r="U45" s="14">
        <f>U11*Inputs!$C$49</f>
        <v>2.5000000000000002E-8</v>
      </c>
      <c r="V45" s="14">
        <f>V11*Inputs!$C$49</f>
        <v>2.5000000000000002E-8</v>
      </c>
      <c r="W45" s="14">
        <f>W11*Inputs!$C$49</f>
        <v>2.5000000000000002E-8</v>
      </c>
      <c r="X45" s="187">
        <f>X11*Inputs!$C$49</f>
        <v>2.5000000000000002E-8</v>
      </c>
      <c r="Y45" s="14">
        <f>Y11*Inputs!$C$49</f>
        <v>2.5000000000000002E-8</v>
      </c>
      <c r="Z45" s="14">
        <f>Z11*Inputs!$C$49</f>
        <v>2.5000000000000002E-8</v>
      </c>
      <c r="AA45" s="14">
        <f>AA11*Inputs!$C$49</f>
        <v>2.5000000000000002E-8</v>
      </c>
      <c r="AB45" s="14">
        <f>AB11*Inputs!$C$49</f>
        <v>2.5000000000000002E-8</v>
      </c>
      <c r="AC45" s="14">
        <f>AC11*Inputs!$C$49</f>
        <v>2.5000000000000002E-8</v>
      </c>
      <c r="AD45" s="14">
        <f>AD11*Inputs!$C$49</f>
        <v>2.5000000000000002E-8</v>
      </c>
      <c r="AE45" s="14">
        <f>AE11*Inputs!$C$49</f>
        <v>2.5000000000000002E-8</v>
      </c>
      <c r="AF45" s="14">
        <f>AF11*Inputs!$C$49</f>
        <v>2.5000000000000002E-8</v>
      </c>
      <c r="AG45" s="14">
        <f>AG11*Inputs!$C$49</f>
        <v>2.5000000000000002E-8</v>
      </c>
      <c r="AH45" s="14">
        <f>AH11*Inputs!$C$49</f>
        <v>2.5000000000000002E-8</v>
      </c>
    </row>
    <row r="46" spans="1:36" ht="15">
      <c r="A46" s="8" t="s">
        <v>51</v>
      </c>
      <c r="B46" s="34">
        <v>1</v>
      </c>
      <c r="C46" s="331">
        <f>C12*Inputs!$C$52</f>
        <v>73.349999999999994</v>
      </c>
      <c r="D46" s="331">
        <f>D12*Inputs!$C$52</f>
        <v>70.5</v>
      </c>
      <c r="E46" s="331">
        <f>E12*Inputs!$C$52</f>
        <v>120.32175544810123</v>
      </c>
      <c r="F46" s="331">
        <f>F12*Inputs!$C$52</f>
        <v>129.77156077599767</v>
      </c>
      <c r="G46" s="331">
        <f>G12*Inputs!$C$52</f>
        <v>50.434161603180947</v>
      </c>
      <c r="H46" s="14">
        <f>H12*Inputs!$C$52</f>
        <v>54.420579003430753</v>
      </c>
      <c r="I46" s="14">
        <f>I12*Inputs!$C$52</f>
        <v>55.42729935786263</v>
      </c>
      <c r="J46" s="14">
        <f>J12*Inputs!$C$52</f>
        <v>55.441736268620993</v>
      </c>
      <c r="K46" s="14">
        <f>K12*Inputs!$C$52</f>
        <v>55.453936474895656</v>
      </c>
      <c r="L46" s="14">
        <f>L12*Inputs!$C$52</f>
        <v>55.45922323094802</v>
      </c>
      <c r="M46" s="14">
        <f>M12*Inputs!$C$52</f>
        <v>55.449463065928292</v>
      </c>
      <c r="N46" s="190">
        <f>N12*Inputs!$C$52</f>
        <v>55.434416144856193</v>
      </c>
      <c r="O46" s="14">
        <f>O12*Inputs!$C$52</f>
        <v>55.425740442616423</v>
      </c>
      <c r="P46" s="14">
        <f>P12*Inputs!$C$52</f>
        <v>55.417268077147888</v>
      </c>
      <c r="Q46" s="14">
        <f>Q12*Inputs!$C$52</f>
        <v>55.407779027823146</v>
      </c>
      <c r="R46" s="14">
        <f>R12*Inputs!$C$52</f>
        <v>55.398561094193397</v>
      </c>
      <c r="S46" s="14">
        <f>S12*Inputs!$C$52</f>
        <v>55.389410939487391</v>
      </c>
      <c r="T46" s="14">
        <f>T12*Inputs!$C$52</f>
        <v>55.378024080297692</v>
      </c>
      <c r="U46" s="14">
        <f>U12*Inputs!$C$52</f>
        <v>55.365620537251779</v>
      </c>
      <c r="V46" s="14">
        <f>V12*Inputs!$C$52</f>
        <v>55.351590300035895</v>
      </c>
      <c r="W46" s="14">
        <f>W12*Inputs!$C$52</f>
        <v>55.330443275826461</v>
      </c>
      <c r="X46" s="187">
        <f>X12*Inputs!$C$52</f>
        <v>55.287268101398872</v>
      </c>
      <c r="Y46" s="14">
        <f>Y12*Inputs!$C$52</f>
        <v>55.24422848481877</v>
      </c>
      <c r="Z46" s="14">
        <f>Z12*Inputs!$C$52</f>
        <v>55.201595541781153</v>
      </c>
      <c r="AA46" s="14">
        <f>AA12*Inputs!$C$52</f>
        <v>55.159979282599771</v>
      </c>
      <c r="AB46" s="14">
        <f>AB12*Inputs!$C$52</f>
        <v>55.121074180368304</v>
      </c>
      <c r="AC46" s="14">
        <f>AC12*Inputs!$C$52</f>
        <v>55.082440193831836</v>
      </c>
      <c r="AD46" s="14">
        <f>AD12*Inputs!$C$52</f>
        <v>55.045094006846583</v>
      </c>
      <c r="AE46" s="14">
        <f>AE12*Inputs!$C$52</f>
        <v>55.009442292955029</v>
      </c>
      <c r="AF46" s="14">
        <f>AF12*Inputs!$C$52</f>
        <v>54.972163884893526</v>
      </c>
      <c r="AG46" s="14">
        <f>AG12*Inputs!$C$52</f>
        <v>54.941731148130593</v>
      </c>
      <c r="AH46" s="14">
        <f>AH12*Inputs!$C$52</f>
        <v>54.913264000156353</v>
      </c>
    </row>
    <row r="47" spans="1:36" ht="15">
      <c r="A47" s="8" t="s">
        <v>347</v>
      </c>
      <c r="B47" s="34">
        <v>1</v>
      </c>
      <c r="C47" s="331">
        <f>C13*Inputs!$C$54</f>
        <v>0</v>
      </c>
      <c r="D47" s="331">
        <f>D13*Inputs!$C$54</f>
        <v>0</v>
      </c>
      <c r="E47" s="331">
        <f>E13*Inputs!$C$54</f>
        <v>0.15800000000000003</v>
      </c>
      <c r="F47" s="331">
        <f>F13*Inputs!$C$54</f>
        <v>0.15800000000000003</v>
      </c>
      <c r="G47" s="331">
        <f>G13*Inputs!$C$54</f>
        <v>0.15800000000000003</v>
      </c>
      <c r="H47" s="14">
        <f>H13*Inputs!$C$54</f>
        <v>0.15800000000000003</v>
      </c>
      <c r="I47" s="14">
        <f>I13*Inputs!$C$54</f>
        <v>0.15800000000000003</v>
      </c>
      <c r="J47" s="14">
        <f>J13*Inputs!$C$54</f>
        <v>0.15800000000000003</v>
      </c>
      <c r="K47" s="14">
        <f>K13*Inputs!$C$54</f>
        <v>0.15800000000000003</v>
      </c>
      <c r="L47" s="14">
        <f>L13*Inputs!$C$54</f>
        <v>0.15800000000000003</v>
      </c>
      <c r="M47" s="14">
        <f>M13*Inputs!$C$54</f>
        <v>0.15800000000000003</v>
      </c>
      <c r="N47" s="190">
        <f>N13*Inputs!$C$54</f>
        <v>0.15800000000000003</v>
      </c>
      <c r="O47" s="14">
        <f>O13*Inputs!$C$54</f>
        <v>0.15800000000000003</v>
      </c>
      <c r="P47" s="14">
        <f>P13*Inputs!$C$54</f>
        <v>0.15800000000000003</v>
      </c>
      <c r="Q47" s="14">
        <f>Q13*Inputs!$C$54</f>
        <v>0.15800000000000003</v>
      </c>
      <c r="R47" s="14">
        <f>R13*Inputs!$C$54</f>
        <v>0.15800000000000003</v>
      </c>
      <c r="S47" s="14">
        <f>S13*Inputs!$C$54</f>
        <v>0.15800000000000003</v>
      </c>
      <c r="T47" s="14">
        <f>T13*Inputs!$C$54</f>
        <v>0.15800000000000003</v>
      </c>
      <c r="U47" s="14">
        <f>U13*Inputs!$C$54</f>
        <v>0.15800000000000003</v>
      </c>
      <c r="V47" s="14">
        <f>V13*Inputs!$C$54</f>
        <v>0.15800000000000003</v>
      </c>
      <c r="W47" s="14">
        <f>W13*Inputs!$C$54</f>
        <v>0.15800000000000003</v>
      </c>
      <c r="X47" s="187">
        <f>X13*Inputs!$C$54</f>
        <v>0.15800000000000003</v>
      </c>
      <c r="Y47" s="14">
        <f>Y13*Inputs!$C$54</f>
        <v>0.15800000000000003</v>
      </c>
      <c r="Z47" s="14">
        <f>Z13*Inputs!$C$54</f>
        <v>0.15800000000000003</v>
      </c>
      <c r="AA47" s="14">
        <f>AA13*Inputs!$C$54</f>
        <v>0.15800000000000003</v>
      </c>
      <c r="AB47" s="14">
        <f>AB13*Inputs!$C$54</f>
        <v>0.15800000000000003</v>
      </c>
      <c r="AC47" s="14">
        <f>AC13*Inputs!$C$54</f>
        <v>0.15800000000000003</v>
      </c>
      <c r="AD47" s="14">
        <f>AD13*Inputs!$C$54</f>
        <v>0.15800000000000003</v>
      </c>
      <c r="AE47" s="14">
        <f>AE13*Inputs!$C$54</f>
        <v>0.15800000000000003</v>
      </c>
      <c r="AF47" s="14">
        <f>AF13*Inputs!$C$54</f>
        <v>0.15800000000000003</v>
      </c>
      <c r="AG47" s="14">
        <f>AG13*Inputs!$C$54</f>
        <v>0.15800000000000003</v>
      </c>
      <c r="AH47" s="14">
        <f>AH13*Inputs!$C$54</f>
        <v>0</v>
      </c>
    </row>
    <row r="48" spans="1:36" ht="15">
      <c r="A48" s="8" t="s">
        <v>348</v>
      </c>
      <c r="B48" s="34">
        <v>1</v>
      </c>
      <c r="C48" s="331">
        <f>C14*Inputs!$C$55</f>
        <v>0</v>
      </c>
      <c r="D48" s="331">
        <f>D14*Inputs!$C$55</f>
        <v>0</v>
      </c>
      <c r="E48" s="331">
        <f>E14*Inputs!$C$55</f>
        <v>2.3000000000000003E-2</v>
      </c>
      <c r="F48" s="331">
        <f>F14*Inputs!$C$55</f>
        <v>2.3000000000000003E-2</v>
      </c>
      <c r="G48" s="331">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0">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7">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178.84</v>
      </c>
      <c r="D50" s="331">
        <f>D16*Inputs!$C$57</f>
        <v>184.96</v>
      </c>
      <c r="E50" s="331">
        <f>E16*Inputs!$C$57</f>
        <v>177.72348018139797</v>
      </c>
      <c r="F50" s="331">
        <f>F16*Inputs!$C$57</f>
        <v>208.07320321517676</v>
      </c>
      <c r="G50" s="331">
        <f>G16*Inputs!$C$57</f>
        <v>220.40559271889452</v>
      </c>
      <c r="H50" s="14">
        <f>H16*Inputs!$C$57</f>
        <v>222.93870614329703</v>
      </c>
      <c r="I50" s="14">
        <f>I16*Inputs!$C$57</f>
        <v>267.58048355445322</v>
      </c>
      <c r="J50" s="14">
        <f>J16*Inputs!$C$57</f>
        <v>295.91452859856969</v>
      </c>
      <c r="K50" s="14">
        <f>K16*Inputs!$C$57</f>
        <v>296.07031384679135</v>
      </c>
      <c r="L50" s="14">
        <f>L16*Inputs!$C$57</f>
        <v>296.07316241631861</v>
      </c>
      <c r="M50" s="14">
        <f>M16*Inputs!$C$57</f>
        <v>296.07316241631861</v>
      </c>
      <c r="N50" s="190">
        <f>N16*Inputs!$C$57</f>
        <v>296.08273859820844</v>
      </c>
      <c r="O50" s="14">
        <f>O16*Inputs!$C$57</f>
        <v>296.04304240350672</v>
      </c>
      <c r="P50" s="14">
        <f>P16*Inputs!$C$57</f>
        <v>296.04671141356602</v>
      </c>
      <c r="Q50" s="14">
        <f>Q16*Inputs!$C$57</f>
        <v>296.03529088136014</v>
      </c>
      <c r="R50" s="14">
        <f>R16*Inputs!$C$57</f>
        <v>296.03358436505351</v>
      </c>
      <c r="S50" s="14">
        <f>S16*Inputs!$C$57</f>
        <v>296.02346341065038</v>
      </c>
      <c r="T50" s="14">
        <f>T16*Inputs!$C$57</f>
        <v>296.01842918754585</v>
      </c>
      <c r="U50" s="14">
        <f>U16*Inputs!$C$57</f>
        <v>295.96727964301698</v>
      </c>
      <c r="V50" s="14">
        <f>V16*Inputs!$C$57</f>
        <v>295.95558344279237</v>
      </c>
      <c r="W50" s="14">
        <f>W16*Inputs!$C$57</f>
        <v>295.94623698425153</v>
      </c>
      <c r="X50" s="187">
        <f>X16*Inputs!$C$57</f>
        <v>295.92430824971149</v>
      </c>
      <c r="Y50" s="14">
        <f>Y16*Inputs!$C$57</f>
        <v>295.93263736199259</v>
      </c>
      <c r="Z50" s="14">
        <f>Z16*Inputs!$C$57</f>
        <v>295.94963032629198</v>
      </c>
      <c r="AA50" s="14">
        <f>AA16*Inputs!$C$57</f>
        <v>296.07708084029957</v>
      </c>
      <c r="AB50" s="14">
        <f>AB16*Inputs!$C$57</f>
        <v>296.35324768690487</v>
      </c>
      <c r="AC50" s="14">
        <f>AC16*Inputs!$C$57</f>
        <v>296.63236155590124</v>
      </c>
      <c r="AD50" s="14">
        <f>AD16*Inputs!$C$57</f>
        <v>296.60799775386215</v>
      </c>
      <c r="AE50" s="14">
        <f>AE16*Inputs!$C$57</f>
        <v>297.08785701223536</v>
      </c>
      <c r="AF50" s="14">
        <f>AF16*Inputs!$C$57</f>
        <v>297.41532436442742</v>
      </c>
      <c r="AG50" s="14">
        <f>AG16*Inputs!$C$57</f>
        <v>297.92330832423869</v>
      </c>
      <c r="AH50" s="14">
        <f>AH16*Inputs!$C$57</f>
        <v>298.74597389099085</v>
      </c>
    </row>
    <row r="51" spans="1:34" s="20" customFormat="1" ht="15">
      <c r="A51" s="8" t="s">
        <v>128</v>
      </c>
      <c r="B51" s="38"/>
      <c r="C51" s="334">
        <f t="shared" ref="C51:AH51" si="21">SUMPRODUCT($B42:$B50,C42:C50)</f>
        <v>413.68269999999995</v>
      </c>
      <c r="D51" s="334">
        <f t="shared" si="21"/>
        <v>439.84270000000004</v>
      </c>
      <c r="E51" s="334">
        <f t="shared" si="21"/>
        <v>552.75695119084344</v>
      </c>
      <c r="F51" s="334">
        <f t="shared" si="21"/>
        <v>620.07669063559024</v>
      </c>
      <c r="G51" s="334">
        <f t="shared" si="21"/>
        <v>568.72277789987845</v>
      </c>
      <c r="H51" s="19">
        <f t="shared" si="21"/>
        <v>615.16823370886027</v>
      </c>
      <c r="I51" s="19">
        <f t="shared" si="21"/>
        <v>665.34429864949539</v>
      </c>
      <c r="J51" s="19">
        <f t="shared" si="21"/>
        <v>715.02741470054707</v>
      </c>
      <c r="K51" s="19">
        <f t="shared" si="21"/>
        <v>725.37313628704851</v>
      </c>
      <c r="L51" s="19">
        <f t="shared" si="21"/>
        <v>750.3140383454413</v>
      </c>
      <c r="M51" s="19">
        <f t="shared" si="21"/>
        <v>766.53325176934936</v>
      </c>
      <c r="N51" s="190">
        <f t="shared" si="21"/>
        <v>792.03864109518213</v>
      </c>
      <c r="O51" s="19">
        <f t="shared" si="21"/>
        <v>808.61402766395713</v>
      </c>
      <c r="P51" s="19">
        <f t="shared" si="21"/>
        <v>831.17154836733948</v>
      </c>
      <c r="Q51" s="19">
        <f t="shared" si="21"/>
        <v>844.21190792566381</v>
      </c>
      <c r="R51" s="19">
        <f t="shared" si="21"/>
        <v>871.70743559080984</v>
      </c>
      <c r="S51" s="19">
        <f t="shared" si="21"/>
        <v>885.27714963001824</v>
      </c>
      <c r="T51" s="19">
        <f t="shared" si="21"/>
        <v>898.27584555873375</v>
      </c>
      <c r="U51" s="19">
        <f t="shared" si="21"/>
        <v>911.10563719854895</v>
      </c>
      <c r="V51" s="19">
        <f t="shared" si="21"/>
        <v>921.37194383192036</v>
      </c>
      <c r="W51" s="19">
        <f t="shared" si="21"/>
        <v>932.93755190568572</v>
      </c>
      <c r="X51" s="182">
        <f t="shared" si="21"/>
        <v>946.99716618996422</v>
      </c>
      <c r="Y51" s="19">
        <f t="shared" si="21"/>
        <v>957.85262467984398</v>
      </c>
      <c r="Z51" s="19">
        <f t="shared" si="21"/>
        <v>968.1614863975218</v>
      </c>
      <c r="AA51" s="19">
        <f t="shared" si="21"/>
        <v>981.9392272147569</v>
      </c>
      <c r="AB51" s="19">
        <f t="shared" si="21"/>
        <v>996.40542862643565</v>
      </c>
      <c r="AC51" s="19">
        <f t="shared" si="21"/>
        <v>1009.6449914469733</v>
      </c>
      <c r="AD51" s="19">
        <f t="shared" si="21"/>
        <v>1023.3050893996095</v>
      </c>
      <c r="AE51" s="19">
        <f t="shared" si="21"/>
        <v>1035.6722552440949</v>
      </c>
      <c r="AF51" s="19">
        <f t="shared" si="21"/>
        <v>1048.2811624099936</v>
      </c>
      <c r="AG51" s="19">
        <f t="shared" si="21"/>
        <v>1062.5946018368481</v>
      </c>
      <c r="AH51" s="19">
        <f t="shared" si="21"/>
        <v>1074.9273314446286</v>
      </c>
    </row>
    <row r="52" spans="1:34" s="20" customFormat="1" ht="15">
      <c r="A52" s="27" t="s">
        <v>329</v>
      </c>
      <c r="B52" s="39"/>
      <c r="C52" s="334">
        <f>SUM(C40:C50)</f>
        <v>2398.4012000000002</v>
      </c>
      <c r="D52" s="334">
        <f t="shared" ref="D52:I52" si="22">SUM(D42:D50)</f>
        <v>2615.9812000000002</v>
      </c>
      <c r="E52" s="334">
        <f t="shared" si="22"/>
        <v>2566.1712636736447</v>
      </c>
      <c r="F52" s="334">
        <f t="shared" si="22"/>
        <v>2462.3551043087737</v>
      </c>
      <c r="G52" s="334">
        <f t="shared" si="22"/>
        <v>2277.4068501578408</v>
      </c>
      <c r="H52" s="19">
        <f t="shared" si="22"/>
        <v>2327.5664600041282</v>
      </c>
      <c r="I52" s="19">
        <f t="shared" si="22"/>
        <v>2428.5223461761429</v>
      </c>
      <c r="J52" s="19">
        <f t="shared" ref="J52:AH52" si="23">SUM(J42:J50)</f>
        <v>2284.9691954320297</v>
      </c>
      <c r="K52" s="19">
        <f t="shared" si="23"/>
        <v>2425.6760581323833</v>
      </c>
      <c r="L52" s="19">
        <f t="shared" si="23"/>
        <v>1981.238787623191</v>
      </c>
      <c r="M52" s="19">
        <f t="shared" si="23"/>
        <v>1997.4580010470991</v>
      </c>
      <c r="N52" s="190">
        <f t="shared" si="23"/>
        <v>1553.7215263729315</v>
      </c>
      <c r="O52" s="19">
        <f t="shared" si="23"/>
        <v>1570.2969129417065</v>
      </c>
      <c r="P52" s="19">
        <f t="shared" si="23"/>
        <v>1592.8544336450891</v>
      </c>
      <c r="Q52" s="19">
        <f t="shared" si="23"/>
        <v>1605.8947932034137</v>
      </c>
      <c r="R52" s="19">
        <f t="shared" si="23"/>
        <v>1633.3903208685595</v>
      </c>
      <c r="S52" s="19">
        <f t="shared" si="23"/>
        <v>1646.9600349077677</v>
      </c>
      <c r="T52" s="19">
        <f t="shared" si="23"/>
        <v>1659.9587308364835</v>
      </c>
      <c r="U52" s="19">
        <f t="shared" si="23"/>
        <v>1689.2229320985086</v>
      </c>
      <c r="V52" s="19">
        <f t="shared" si="23"/>
        <v>1699.4892387318803</v>
      </c>
      <c r="W52" s="19">
        <f t="shared" si="23"/>
        <v>1711.0548468056454</v>
      </c>
      <c r="X52" s="182">
        <f t="shared" si="23"/>
        <v>1726.9072874517426</v>
      </c>
      <c r="Y52" s="19">
        <f t="shared" si="23"/>
        <v>1737.7627459416226</v>
      </c>
      <c r="Z52" s="19">
        <f t="shared" si="23"/>
        <v>1750.0382716339836</v>
      </c>
      <c r="AA52" s="19">
        <f t="shared" si="23"/>
        <v>1763.8160124512187</v>
      </c>
      <c r="AB52" s="19">
        <f t="shared" si="23"/>
        <v>1778.2822138628976</v>
      </c>
      <c r="AC52" s="19">
        <f t="shared" si="23"/>
        <v>1791.5217766834351</v>
      </c>
      <c r="AD52" s="19">
        <f t="shared" si="23"/>
        <v>1805.1818746360714</v>
      </c>
      <c r="AE52" s="19">
        <f t="shared" si="23"/>
        <v>1817.5490404805569</v>
      </c>
      <c r="AF52" s="19">
        <f t="shared" si="23"/>
        <v>1830.1579476464553</v>
      </c>
      <c r="AG52" s="19">
        <f t="shared" si="23"/>
        <v>1844.4713870733099</v>
      </c>
      <c r="AH52" s="19">
        <f t="shared" si="23"/>
        <v>1856.8041166810906</v>
      </c>
    </row>
    <row r="53" spans="1:34" s="20" customFormat="1" ht="15">
      <c r="A53" s="27" t="s">
        <v>330</v>
      </c>
      <c r="B53" s="39"/>
      <c r="C53" s="334">
        <f>C20*Inputs!$C$60</f>
        <v>4100.8</v>
      </c>
      <c r="D53" s="334">
        <f>D20*Inputs!$C$60</f>
        <v>4418.59</v>
      </c>
      <c r="E53" s="334">
        <f>E20*Inputs!$C$60</f>
        <v>4667.850066</v>
      </c>
      <c r="F53" s="334">
        <f>F20*Inputs!$C$60</f>
        <v>4345.0440330000001</v>
      </c>
      <c r="G53" s="334">
        <f>G20*Inputs!$C$60</f>
        <v>4492.3372889999991</v>
      </c>
      <c r="H53" s="19">
        <f>H20*Inputs!$C$60</f>
        <v>4471.6844369999999</v>
      </c>
      <c r="I53" s="19">
        <f>I20*Inputs!$C$60</f>
        <v>4589.935250999999</v>
      </c>
      <c r="J53" s="19">
        <f>J20*Inputs!$C$60</f>
        <v>4289.1202860000003</v>
      </c>
      <c r="K53" s="19">
        <f>K20*Inputs!$C$60</f>
        <v>4213.7015909999991</v>
      </c>
      <c r="L53" s="19">
        <f>L20*Inputs!$C$60</f>
        <v>4307.716512</v>
      </c>
      <c r="M53" s="19">
        <f>M20*Inputs!$C$60</f>
        <v>4348.4561670000003</v>
      </c>
      <c r="N53" s="190">
        <f>N20*Inputs!$C$60</f>
        <v>4375.7875589999994</v>
      </c>
      <c r="O53" s="19">
        <f>O20*Inputs!$C$60</f>
        <v>4387.2795120000001</v>
      </c>
      <c r="P53" s="19">
        <f>P20*Inputs!$C$60</f>
        <v>4399.267190999999</v>
      </c>
      <c r="Q53" s="19">
        <f>Q20*Inputs!$C$60</f>
        <v>4424.6209259999996</v>
      </c>
      <c r="R53" s="19">
        <f>R20*Inputs!$C$60</f>
        <v>4444.7515199999998</v>
      </c>
      <c r="S53" s="19">
        <f>S20*Inputs!$C$60</f>
        <v>4456.3029060000008</v>
      </c>
      <c r="T53" s="19">
        <f>T20*Inputs!$C$60</f>
        <v>4458.1042769999995</v>
      </c>
      <c r="U53" s="19">
        <f>U20*Inputs!$C$60</f>
        <v>4451.3657759999996</v>
      </c>
      <c r="V53" s="19">
        <f>V20*Inputs!$C$60</f>
        <v>4442.8863270000002</v>
      </c>
      <c r="W53" s="19">
        <f>W20*Inputs!$C$60</f>
        <v>4445.3665410000003</v>
      </c>
      <c r="X53" s="182">
        <f>X20*Inputs!$C$60</f>
        <v>4446.4637249999987</v>
      </c>
      <c r="Y53" s="19">
        <f>Y20*Inputs!$C$60</f>
        <v>4445.5756289999999</v>
      </c>
      <c r="Z53" s="19">
        <f>Z20*Inputs!$C$60</f>
        <v>4441.8234629999997</v>
      </c>
      <c r="AA53" s="19">
        <f>AA20*Inputs!$C$60</f>
        <v>4439.4989100000003</v>
      </c>
      <c r="AB53" s="19">
        <f>AB20*Inputs!$C$60</f>
        <v>4435.2683429999997</v>
      </c>
      <c r="AC53" s="19">
        <f>AC20*Inputs!$C$60</f>
        <v>4432.3724279999997</v>
      </c>
      <c r="AD53" s="19">
        <f>AD20*Inputs!$C$60</f>
        <v>4428.6235290000004</v>
      </c>
      <c r="AE53" s="19">
        <f>AE20*Inputs!$C$60</f>
        <v>4424.770845</v>
      </c>
      <c r="AF53" s="19">
        <f>AF20*Inputs!$C$60</f>
        <v>4420.7346150000003</v>
      </c>
      <c r="AG53" s="19">
        <f>AG20*Inputs!$C$60</f>
        <v>4417.2455910000008</v>
      </c>
      <c r="AH53" s="19">
        <f>AH20*Inputs!$C$60</f>
        <v>4414.0122179999998</v>
      </c>
    </row>
    <row r="54" spans="1:34" s="20" customFormat="1" ht="15">
      <c r="A54" s="27" t="s">
        <v>222</v>
      </c>
      <c r="B54" s="39"/>
      <c r="C54" s="334">
        <f>C21*Inputs!$C$61</f>
        <v>603.24</v>
      </c>
      <c r="D54" s="334">
        <f>D21*Inputs!$C$61</f>
        <v>604.66999999999996</v>
      </c>
      <c r="E54" s="334">
        <f>E21*Inputs!$C$61</f>
        <v>329.42570609483818</v>
      </c>
      <c r="F54" s="334">
        <f>F21*Inputs!$C$61</f>
        <v>629.33727995962545</v>
      </c>
      <c r="G54" s="334">
        <f>G21*Inputs!$C$61</f>
        <v>197.38074532708146</v>
      </c>
      <c r="H54" s="19">
        <f>H21*Inputs!$C$61</f>
        <v>302.79022849230711</v>
      </c>
      <c r="I54" s="19">
        <f>I21*Inputs!$C$61</f>
        <v>286.96477260916873</v>
      </c>
      <c r="J54" s="19">
        <f>J21*Inputs!$C$61</f>
        <v>744.27803895127522</v>
      </c>
      <c r="K54" s="19">
        <f>K21*Inputs!$C$61</f>
        <v>852.471952807408</v>
      </c>
      <c r="L54" s="19">
        <f>L21*Inputs!$C$61</f>
        <v>1010.4189524769213</v>
      </c>
      <c r="M54" s="19">
        <f>M21*Inputs!$C$61</f>
        <v>1090.9302217573099</v>
      </c>
      <c r="N54" s="190">
        <f>N21*Inputs!$C$61</f>
        <v>1285.8692120308917</v>
      </c>
      <c r="O54" s="19">
        <f>O21*Inputs!$C$61</f>
        <v>1345.1628537002675</v>
      </c>
      <c r="P54" s="19">
        <f>P21*Inputs!$C$61</f>
        <v>1367.3379589077845</v>
      </c>
      <c r="Q54" s="19">
        <f>Q21*Inputs!$C$61</f>
        <v>1458.0390170220728</v>
      </c>
      <c r="R54" s="19">
        <f>R21*Inputs!$C$61</f>
        <v>1496.1431348063527</v>
      </c>
      <c r="S54" s="19">
        <f>S21*Inputs!$C$61</f>
        <v>1513.8725258473833</v>
      </c>
      <c r="T54" s="19">
        <f>T21*Inputs!$C$61</f>
        <v>1603.7535140757514</v>
      </c>
      <c r="U54" s="19">
        <f>U21*Inputs!$C$61</f>
        <v>1683.3895605671999</v>
      </c>
      <c r="V54" s="19">
        <f>V21*Inputs!$C$61</f>
        <v>1715.8753059028058</v>
      </c>
      <c r="W54" s="19">
        <f>W21*Inputs!$C$61</f>
        <v>1789.2681070453007</v>
      </c>
      <c r="X54" s="182">
        <f>X21*Inputs!$C$61</f>
        <v>1846.507013076251</v>
      </c>
      <c r="Y54" s="19">
        <f>Y21*Inputs!$C$61</f>
        <v>1868.6339781303675</v>
      </c>
      <c r="Z54" s="19">
        <f>Z21*Inputs!$C$61</f>
        <v>1891.4985473530774</v>
      </c>
      <c r="AA54" s="19">
        <f>AA21*Inputs!$C$61</f>
        <v>1908.7105767455093</v>
      </c>
      <c r="AB54" s="19">
        <f>AB21*Inputs!$C$61</f>
        <v>1867.0347021251048</v>
      </c>
      <c r="AC54" s="19">
        <f>AC21*Inputs!$C$61</f>
        <v>1905.3268459630851</v>
      </c>
      <c r="AD54" s="19">
        <f>AD21*Inputs!$C$61</f>
        <v>1894.2346269808204</v>
      </c>
      <c r="AE54" s="19">
        <f>AE21*Inputs!$C$61</f>
        <v>1901.2486947860375</v>
      </c>
      <c r="AF54" s="19">
        <f>AF21*Inputs!$C$61</f>
        <v>1927.7057427290849</v>
      </c>
      <c r="AG54" s="19">
        <f>AG21*Inputs!$C$61</f>
        <v>2036.5492586552064</v>
      </c>
      <c r="AH54" s="19">
        <f>AH21*Inputs!$C$61</f>
        <v>2104.925254720496</v>
      </c>
    </row>
    <row r="55" spans="1:34" s="20" customFormat="1" ht="15">
      <c r="A55" s="27" t="s">
        <v>58</v>
      </c>
      <c r="B55" s="39"/>
      <c r="C55" s="334">
        <f>SUM(C52:C54)</f>
        <v>7102.4412000000002</v>
      </c>
      <c r="D55" s="334">
        <f t="shared" ref="D55:AH55" si="24">SUM(D52:D54)</f>
        <v>7639.2412000000004</v>
      </c>
      <c r="E55" s="334">
        <f t="shared" si="24"/>
        <v>7563.4470357684831</v>
      </c>
      <c r="F55" s="334">
        <f t="shared" si="24"/>
        <v>7436.7364172683992</v>
      </c>
      <c r="G55" s="334">
        <f t="shared" si="24"/>
        <v>6967.1248844849206</v>
      </c>
      <c r="H55" s="19">
        <f t="shared" si="24"/>
        <v>7102.0411254964356</v>
      </c>
      <c r="I55" s="19">
        <f t="shared" si="24"/>
        <v>7305.4223697853113</v>
      </c>
      <c r="J55" s="19">
        <f t="shared" si="24"/>
        <v>7318.3675203833054</v>
      </c>
      <c r="K55" s="19">
        <f t="shared" si="24"/>
        <v>7491.8496019397908</v>
      </c>
      <c r="L55" s="19">
        <f t="shared" si="24"/>
        <v>7299.3742521001113</v>
      </c>
      <c r="M55" s="19">
        <f t="shared" si="24"/>
        <v>7436.8443898044097</v>
      </c>
      <c r="N55" s="190">
        <f t="shared" si="24"/>
        <v>7215.3782974038222</v>
      </c>
      <c r="O55" s="19">
        <f t="shared" si="24"/>
        <v>7302.7392786419732</v>
      </c>
      <c r="P55" s="19">
        <f t="shared" si="24"/>
        <v>7359.4595835528726</v>
      </c>
      <c r="Q55" s="19">
        <f t="shared" si="24"/>
        <v>7488.5547362254856</v>
      </c>
      <c r="R55" s="19">
        <f t="shared" si="24"/>
        <v>7574.2849756749119</v>
      </c>
      <c r="S55" s="19">
        <f t="shared" si="24"/>
        <v>7617.1354667551523</v>
      </c>
      <c r="T55" s="19">
        <f t="shared" si="24"/>
        <v>7721.8165219122347</v>
      </c>
      <c r="U55" s="19">
        <f t="shared" si="24"/>
        <v>7823.9782686657081</v>
      </c>
      <c r="V55" s="19">
        <f t="shared" si="24"/>
        <v>7858.2508716346865</v>
      </c>
      <c r="W55" s="19">
        <f t="shared" si="24"/>
        <v>7945.6894948509462</v>
      </c>
      <c r="X55" s="182">
        <f t="shared" si="24"/>
        <v>8019.8780255279926</v>
      </c>
      <c r="Y55" s="19">
        <f t="shared" si="24"/>
        <v>8051.9723530719903</v>
      </c>
      <c r="Z55" s="19">
        <f t="shared" si="24"/>
        <v>8083.3602819870612</v>
      </c>
      <c r="AA55" s="19">
        <f t="shared" si="24"/>
        <v>8112.0254991967286</v>
      </c>
      <c r="AB55" s="19">
        <f t="shared" si="24"/>
        <v>8080.5852589880024</v>
      </c>
      <c r="AC55" s="19">
        <f t="shared" si="24"/>
        <v>8129.2210506465199</v>
      </c>
      <c r="AD55" s="19">
        <f t="shared" si="24"/>
        <v>8128.0400306168922</v>
      </c>
      <c r="AE55" s="19">
        <f t="shared" si="24"/>
        <v>8143.5685802665939</v>
      </c>
      <c r="AF55" s="19">
        <f t="shared" si="24"/>
        <v>8178.5983053755399</v>
      </c>
      <c r="AG55" s="19">
        <f t="shared" si="24"/>
        <v>8298.2662367285175</v>
      </c>
      <c r="AH55" s="19">
        <f t="shared" si="24"/>
        <v>8375.7415894015867</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377</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188.18865</v>
      </c>
      <c r="D60" s="331">
        <f>D42*Inputs!$H48</f>
        <v>285.11864999999995</v>
      </c>
      <c r="E60" s="331">
        <f>E42*Inputs!$H48</f>
        <v>365.49208123452053</v>
      </c>
      <c r="F60" s="331">
        <f>F42*Inputs!$H48</f>
        <v>317.00732190586439</v>
      </c>
      <c r="G60" s="331">
        <f>G42*Inputs!$H48</f>
        <v>265.12872503216551</v>
      </c>
      <c r="H60" s="14">
        <f>H42*Inputs!$H48</f>
        <v>270.86939486574107</v>
      </c>
      <c r="I60" s="14">
        <f>I42*Inputs!$H48</f>
        <v>276.44804597398297</v>
      </c>
      <c r="J60" s="14">
        <f>J42*Inputs!$H48</f>
        <v>282.06212105833436</v>
      </c>
      <c r="K60" s="14">
        <f>K42*Inputs!$H48</f>
        <v>287.72373046080071</v>
      </c>
      <c r="L60" s="14">
        <f>L42*Inputs!$H48</f>
        <v>287.72387754997482</v>
      </c>
      <c r="M60" s="14">
        <f>M42*Inputs!$H48</f>
        <v>287.72387754997482</v>
      </c>
      <c r="N60" s="190">
        <f>N42*Inputs!$H48</f>
        <v>287.72387754997482</v>
      </c>
      <c r="O60" s="14">
        <f>O42*Inputs!$H48</f>
        <v>287.72387754997482</v>
      </c>
      <c r="P60" s="14">
        <f>P42*Inputs!$H48</f>
        <v>287.72387754997482</v>
      </c>
      <c r="Q60" s="14">
        <f>Q42*Inputs!$H48</f>
        <v>287.72387754997482</v>
      </c>
      <c r="R60" s="14">
        <f>R42*Inputs!$H48</f>
        <v>287.72387754997482</v>
      </c>
      <c r="S60" s="14">
        <f>S42*Inputs!$H48</f>
        <v>287.72387754997482</v>
      </c>
      <c r="T60" s="14">
        <f>T42*Inputs!$H48</f>
        <v>287.72387754997482</v>
      </c>
      <c r="U60" s="14">
        <f>U42*Inputs!$H48</f>
        <v>302.51484620996393</v>
      </c>
      <c r="V60" s="14">
        <f>V42*Inputs!$H48</f>
        <v>302.51484620996393</v>
      </c>
      <c r="W60" s="14">
        <f>W42*Inputs!$H48</f>
        <v>302.51484620996393</v>
      </c>
      <c r="X60" s="187">
        <f>X42*Inputs!$H48</f>
        <v>304.12838993560081</v>
      </c>
      <c r="Y60" s="14">
        <f>Y42*Inputs!$H48</f>
        <v>304.12838993560081</v>
      </c>
      <c r="Z60" s="14">
        <f>Z42*Inputs!$H48</f>
        <v>305.8983875128157</v>
      </c>
      <c r="AA60" s="14">
        <f>AA42*Inputs!$H48</f>
        <v>305.8983875128157</v>
      </c>
      <c r="AB60" s="14">
        <f>AB42*Inputs!$H48</f>
        <v>305.8983875128157</v>
      </c>
      <c r="AC60" s="14">
        <f>AC42*Inputs!$H48</f>
        <v>305.8983875128157</v>
      </c>
      <c r="AD60" s="14">
        <f>AD42*Inputs!$H48</f>
        <v>305.8983875128157</v>
      </c>
      <c r="AE60" s="14">
        <f>AE42*Inputs!$H48</f>
        <v>305.8983875128157</v>
      </c>
      <c r="AF60" s="14">
        <f>AF42*Inputs!$H48</f>
        <v>305.8983875128157</v>
      </c>
      <c r="AG60" s="14">
        <f>AG42*Inputs!$H48</f>
        <v>305.8983875128157</v>
      </c>
      <c r="AH60" s="14">
        <f>AH42*Inputs!$H48</f>
        <v>305.8983875128157</v>
      </c>
    </row>
    <row r="61" spans="1:34" ht="15">
      <c r="A61" s="8" t="s">
        <v>59</v>
      </c>
      <c r="B61" s="34">
        <v>0</v>
      </c>
      <c r="C61" s="331">
        <f>C43*Inputs!$H53</f>
        <v>1598.0580000000002</v>
      </c>
      <c r="D61" s="331">
        <f>D43*Inputs!$H53</f>
        <v>1673.4060000000002</v>
      </c>
      <c r="E61" s="331">
        <f>E43*Inputs!$H53</f>
        <v>1446.5808000000004</v>
      </c>
      <c r="F61" s="331">
        <f>F43*Inputs!$H53</f>
        <v>1341.0432504000003</v>
      </c>
      <c r="G61" s="331">
        <f>G43*Inputs!$H53</f>
        <v>1272.6869400000003</v>
      </c>
      <c r="H61" s="14">
        <f>H43*Inputs!$H53</f>
        <v>1270.2890088000001</v>
      </c>
      <c r="I61" s="14">
        <f>I43*Inputs!$H53</f>
        <v>1310.4121968000002</v>
      </c>
      <c r="J61" s="14">
        <f>J43*Inputs!$H53</f>
        <v>1130.8854816</v>
      </c>
      <c r="K61" s="14">
        <f>K43*Inputs!$H53</f>
        <v>1242.5488992000003</v>
      </c>
      <c r="L61" s="14">
        <f>L43*Inputs!$H53</f>
        <v>820.10839680000015</v>
      </c>
      <c r="M61" s="14">
        <f>M43*Inputs!$H53</f>
        <v>820.10839680000015</v>
      </c>
      <c r="N61" s="190">
        <f>N43*Inputs!$H53</f>
        <v>397.79071920000013</v>
      </c>
      <c r="O61" s="14">
        <f>O43*Inputs!$H53</f>
        <v>397.79071920000013</v>
      </c>
      <c r="P61" s="14">
        <f>P43*Inputs!$H53</f>
        <v>397.79071920000013</v>
      </c>
      <c r="Q61" s="14">
        <f>Q43*Inputs!$H53</f>
        <v>397.79071920000013</v>
      </c>
      <c r="R61" s="14">
        <f>R43*Inputs!$H53</f>
        <v>397.79071920000013</v>
      </c>
      <c r="S61" s="14">
        <f>S43*Inputs!$H53</f>
        <v>397.79071920000013</v>
      </c>
      <c r="T61" s="14">
        <f>T43*Inputs!$H53</f>
        <v>397.79071920000013</v>
      </c>
      <c r="U61" s="14">
        <f>U43*Inputs!$H53</f>
        <v>397.79071920000013</v>
      </c>
      <c r="V61" s="14">
        <f>V43*Inputs!$H53</f>
        <v>397.79071920000013</v>
      </c>
      <c r="W61" s="14">
        <f>W43*Inputs!$H53</f>
        <v>397.79071920000013</v>
      </c>
      <c r="X61" s="187">
        <f>X43*Inputs!$H53</f>
        <v>397.79071920000013</v>
      </c>
      <c r="Y61" s="14">
        <f>Y43*Inputs!$H53</f>
        <v>397.79071920000013</v>
      </c>
      <c r="Z61" s="14">
        <f>Z43*Inputs!$H53</f>
        <v>397.79071920000013</v>
      </c>
      <c r="AA61" s="14">
        <f>AA43*Inputs!$H53</f>
        <v>397.79071920000013</v>
      </c>
      <c r="AB61" s="14">
        <f>AB43*Inputs!$H53</f>
        <v>397.79071920000013</v>
      </c>
      <c r="AC61" s="14">
        <f>AC43*Inputs!$H53</f>
        <v>397.79071920000013</v>
      </c>
      <c r="AD61" s="14">
        <f>AD43*Inputs!$H53</f>
        <v>397.79071920000013</v>
      </c>
      <c r="AE61" s="14">
        <f>AE43*Inputs!$H53</f>
        <v>397.79071920000013</v>
      </c>
      <c r="AF61" s="14">
        <f>AF43*Inputs!$H53</f>
        <v>397.79071920000013</v>
      </c>
      <c r="AG61" s="14">
        <f>AG43*Inputs!$H53</f>
        <v>397.79071920000013</v>
      </c>
      <c r="AH61" s="14">
        <f>AH43*Inputs!$H53</f>
        <v>397.79071920000013</v>
      </c>
    </row>
    <row r="62" spans="1:34" ht="15">
      <c r="A62" s="8" t="s">
        <v>121</v>
      </c>
      <c r="B62" s="34">
        <v>1</v>
      </c>
      <c r="C62" s="331">
        <f>C44*Inputs!$H46</f>
        <v>145.34099999999998</v>
      </c>
      <c r="D62" s="331">
        <f>D44*Inputs!$H46</f>
        <v>165.94200000000001</v>
      </c>
      <c r="E62" s="331">
        <f>E44*Inputs!$H46</f>
        <v>229.07521398270984</v>
      </c>
      <c r="F62" s="331">
        <f>F44*Inputs!$H46</f>
        <v>253.84340395747418</v>
      </c>
      <c r="G62" s="331">
        <f>G44*Inputs!$H46</f>
        <v>267.92939119752265</v>
      </c>
      <c r="H62" s="14">
        <f>H44*Inputs!$H46</f>
        <v>303.86272368341918</v>
      </c>
      <c r="I62" s="14">
        <f>I44*Inputs!$H46</f>
        <v>307.93753414096153</v>
      </c>
      <c r="J62" s="14">
        <f>J44*Inputs!$H46</f>
        <v>327.13870482752071</v>
      </c>
      <c r="K62" s="14">
        <f>K44*Inputs!$H46</f>
        <v>336.29866734632532</v>
      </c>
      <c r="L62" s="14">
        <f>L44*Inputs!$H46</f>
        <v>358.73815740585712</v>
      </c>
      <c r="M62" s="14">
        <f>M44*Inputs!$H46</f>
        <v>373.34423363589218</v>
      </c>
      <c r="N62" s="190">
        <f>N44*Inputs!$H46</f>
        <v>396.30400769440564</v>
      </c>
      <c r="O62" s="14">
        <f>O44*Inputs!$H46</f>
        <v>411.26539031355048</v>
      </c>
      <c r="P62" s="14">
        <f>P44*Inputs!$H46</f>
        <v>431.57148196646295</v>
      </c>
      <c r="Q62" s="14">
        <f>Q44*Inputs!$H46</f>
        <v>443.32662419233253</v>
      </c>
      <c r="R62" s="14">
        <f>R44*Inputs!$H46</f>
        <v>468.08243109590671</v>
      </c>
      <c r="S62" s="14">
        <f>S44*Inputs!$H46</f>
        <v>480.31251772939237</v>
      </c>
      <c r="T62" s="14">
        <f>T44*Inputs!$H46</f>
        <v>492.02612303930118</v>
      </c>
      <c r="U62" s="14">
        <f>U44*Inputs!$H46</f>
        <v>503.63013329395216</v>
      </c>
      <c r="V62" s="14">
        <f>V44*Inputs!$H46</f>
        <v>512.89296305768289</v>
      </c>
      <c r="W62" s="14">
        <f>W44*Inputs!$H46</f>
        <v>523.32945445854693</v>
      </c>
      <c r="X62" s="187">
        <f>X44*Inputs!$H46</f>
        <v>536.04170083246834</v>
      </c>
      <c r="Y62" s="14">
        <f>Y44*Inputs!$H46</f>
        <v>545.84285292722939</v>
      </c>
      <c r="Z62" s="14">
        <f>Z44*Inputs!$H46</f>
        <v>555.14390445400386</v>
      </c>
      <c r="AA62" s="14">
        <f>AA44*Inputs!$H46</f>
        <v>567.46662036017176</v>
      </c>
      <c r="AB62" s="14">
        <f>AB44*Inputs!$H46</f>
        <v>580.27266606074625</v>
      </c>
      <c r="AC62" s="14">
        <f>AC44*Inputs!$H46</f>
        <v>591.97184070501612</v>
      </c>
      <c r="AD62" s="14">
        <f>AD44*Inputs!$H46</f>
        <v>604.32146785251064</v>
      </c>
      <c r="AE62" s="14">
        <f>AE44*Inputs!$H46</f>
        <v>615.05213032251413</v>
      </c>
      <c r="AF62" s="14">
        <f>AF44*Inputs!$H46</f>
        <v>626.13897672210544</v>
      </c>
      <c r="AG62" s="14">
        <f>AG44*Inputs!$H46</f>
        <v>638.59127610553094</v>
      </c>
      <c r="AH62" s="14">
        <f>AH44*Inputs!$H46</f>
        <v>649.11815417563332</v>
      </c>
    </row>
    <row r="63" spans="1:34" ht="15">
      <c r="A63" s="8" t="s">
        <v>50</v>
      </c>
      <c r="B63" s="34">
        <v>1</v>
      </c>
      <c r="C63" s="331">
        <f>C45*Inputs!$H49</f>
        <v>0</v>
      </c>
      <c r="D63" s="331">
        <f>D45*Inputs!$H49</f>
        <v>0</v>
      </c>
      <c r="E63" s="331">
        <f>E45*Inputs!$H49</f>
        <v>2.2500000000000003E-8</v>
      </c>
      <c r="F63" s="331">
        <f>F45*Inputs!$H49</f>
        <v>2.2500000000000003E-8</v>
      </c>
      <c r="G63" s="331">
        <f>G45*Inputs!$H49</f>
        <v>2.2500000000000003E-8</v>
      </c>
      <c r="H63" s="14">
        <f>H45*Inputs!$H49</f>
        <v>2.2500000000000003E-8</v>
      </c>
      <c r="I63" s="14">
        <f>I45*Inputs!$H49</f>
        <v>2.2500000000000003E-8</v>
      </c>
      <c r="J63" s="14">
        <f>J45*Inputs!$H49</f>
        <v>2.2500000000000003E-8</v>
      </c>
      <c r="K63" s="14">
        <f>K45*Inputs!$H49</f>
        <v>2.2500000000000003E-8</v>
      </c>
      <c r="L63" s="14">
        <f>L45*Inputs!$H49</f>
        <v>2.2500000000000003E-8</v>
      </c>
      <c r="M63" s="14">
        <f>M45*Inputs!$H49</f>
        <v>2.2500000000000003E-8</v>
      </c>
      <c r="N63" s="190">
        <f>N45*Inputs!$H49</f>
        <v>2.2500000000000003E-8</v>
      </c>
      <c r="O63" s="14">
        <f>O45*Inputs!$H49</f>
        <v>2.2500000000000003E-8</v>
      </c>
      <c r="P63" s="14">
        <f>P45*Inputs!$H49</f>
        <v>2.2500000000000003E-8</v>
      </c>
      <c r="Q63" s="14">
        <f>Q45*Inputs!$H49</f>
        <v>2.2500000000000003E-8</v>
      </c>
      <c r="R63" s="14">
        <f>R45*Inputs!$H49</f>
        <v>2.2500000000000003E-8</v>
      </c>
      <c r="S63" s="14">
        <f>S45*Inputs!$H49</f>
        <v>2.2500000000000003E-8</v>
      </c>
      <c r="T63" s="14">
        <f>T45*Inputs!$H49</f>
        <v>2.2500000000000003E-8</v>
      </c>
      <c r="U63" s="14">
        <f>U45*Inputs!$H49</f>
        <v>2.2500000000000003E-8</v>
      </c>
      <c r="V63" s="14">
        <f>V45*Inputs!$H49</f>
        <v>2.2500000000000003E-8</v>
      </c>
      <c r="W63" s="14">
        <f>W45*Inputs!$H49</f>
        <v>2.2500000000000003E-8</v>
      </c>
      <c r="X63" s="187">
        <f>X45*Inputs!$H49</f>
        <v>2.2500000000000003E-8</v>
      </c>
      <c r="Y63" s="14">
        <f>Y45*Inputs!$H49</f>
        <v>2.2500000000000003E-8</v>
      </c>
      <c r="Z63" s="14">
        <f>Z45*Inputs!$H49</f>
        <v>2.2500000000000003E-8</v>
      </c>
      <c r="AA63" s="14">
        <f>AA45*Inputs!$H49</f>
        <v>2.2500000000000003E-8</v>
      </c>
      <c r="AB63" s="14">
        <f>AB45*Inputs!$H49</f>
        <v>2.2500000000000003E-8</v>
      </c>
      <c r="AC63" s="14">
        <f>AC45*Inputs!$H49</f>
        <v>2.2500000000000003E-8</v>
      </c>
      <c r="AD63" s="14">
        <f>AD45*Inputs!$H49</f>
        <v>2.2500000000000003E-8</v>
      </c>
      <c r="AE63" s="14">
        <f>AE45*Inputs!$H49</f>
        <v>2.2500000000000003E-8</v>
      </c>
      <c r="AF63" s="14">
        <f>AF45*Inputs!$H49</f>
        <v>2.2500000000000003E-8</v>
      </c>
      <c r="AG63" s="14">
        <f>AG45*Inputs!$H49</f>
        <v>2.2500000000000003E-8</v>
      </c>
      <c r="AH63" s="14">
        <f>AH45*Inputs!$H49</f>
        <v>2.2500000000000003E-8</v>
      </c>
    </row>
    <row r="64" spans="1:34" ht="15">
      <c r="A64" s="8" t="s">
        <v>51</v>
      </c>
      <c r="B64" s="34">
        <v>1</v>
      </c>
      <c r="C64" s="331">
        <f>C46*Inputs!$H52</f>
        <v>66.015000000000001</v>
      </c>
      <c r="D64" s="331">
        <f>D46*Inputs!$H52</f>
        <v>63.45</v>
      </c>
      <c r="E64" s="331">
        <f>E46*Inputs!$H52</f>
        <v>108.28957990329111</v>
      </c>
      <c r="F64" s="331">
        <f>F46*Inputs!$H52</f>
        <v>116.79440469839791</v>
      </c>
      <c r="G64" s="331">
        <f>G46*Inputs!$H52</f>
        <v>45.390745442862851</v>
      </c>
      <c r="H64" s="14">
        <f>H46*Inputs!$H52</f>
        <v>48.978521103087679</v>
      </c>
      <c r="I64" s="14">
        <f>I46*Inputs!$H52</f>
        <v>49.884569422076368</v>
      </c>
      <c r="J64" s="14">
        <f>J46*Inputs!$H52</f>
        <v>49.897562641758896</v>
      </c>
      <c r="K64" s="14">
        <f>K46*Inputs!$H52</f>
        <v>49.908542827406094</v>
      </c>
      <c r="L64" s="14">
        <f>L46*Inputs!$H52</f>
        <v>49.91330090785322</v>
      </c>
      <c r="M64" s="14">
        <f>M46*Inputs!$H52</f>
        <v>49.904516759335465</v>
      </c>
      <c r="N64" s="190">
        <f>N46*Inputs!$H52</f>
        <v>49.890974530370578</v>
      </c>
      <c r="O64" s="14">
        <f>O46*Inputs!$H52</f>
        <v>49.883166398354781</v>
      </c>
      <c r="P64" s="14">
        <f>P46*Inputs!$H52</f>
        <v>49.8755412694331</v>
      </c>
      <c r="Q64" s="14">
        <f>Q46*Inputs!$H52</f>
        <v>49.867001125040829</v>
      </c>
      <c r="R64" s="14">
        <f>R46*Inputs!$H52</f>
        <v>49.858704984774057</v>
      </c>
      <c r="S64" s="14">
        <f>S46*Inputs!$H52</f>
        <v>49.850469845538655</v>
      </c>
      <c r="T64" s="14">
        <f>T46*Inputs!$H52</f>
        <v>49.840221672267923</v>
      </c>
      <c r="U64" s="14">
        <f>U46*Inputs!$H52</f>
        <v>49.829058483526602</v>
      </c>
      <c r="V64" s="14">
        <f>V46*Inputs!$H52</f>
        <v>49.816431270032304</v>
      </c>
      <c r="W64" s="14">
        <f>W46*Inputs!$H52</f>
        <v>49.797398948243817</v>
      </c>
      <c r="X64" s="187">
        <f>X46*Inputs!$H52</f>
        <v>49.758541291258986</v>
      </c>
      <c r="Y64" s="14">
        <f>Y46*Inputs!$H52</f>
        <v>49.719805636336893</v>
      </c>
      <c r="Z64" s="14">
        <f>Z46*Inputs!$H52</f>
        <v>49.681435987603038</v>
      </c>
      <c r="AA64" s="14">
        <f>AA46*Inputs!$H52</f>
        <v>49.643981354339793</v>
      </c>
      <c r="AB64" s="14">
        <f>AB46*Inputs!$H52</f>
        <v>49.608966762331477</v>
      </c>
      <c r="AC64" s="14">
        <f>AC46*Inputs!$H52</f>
        <v>49.574196174448652</v>
      </c>
      <c r="AD64" s="14">
        <f>AD46*Inputs!$H52</f>
        <v>49.540584606161929</v>
      </c>
      <c r="AE64" s="14">
        <f>AE46*Inputs!$H52</f>
        <v>49.50849806365953</v>
      </c>
      <c r="AF64" s="14">
        <f>AF46*Inputs!$H52</f>
        <v>49.474947496404177</v>
      </c>
      <c r="AG64" s="14">
        <f>AG46*Inputs!$H52</f>
        <v>49.447558033317534</v>
      </c>
      <c r="AH64" s="14">
        <f>AH46*Inputs!$H52</f>
        <v>49.421937600140716</v>
      </c>
    </row>
    <row r="65" spans="1:34" ht="15">
      <c r="A65" s="8" t="s">
        <v>347</v>
      </c>
      <c r="B65" s="34">
        <v>1</v>
      </c>
      <c r="C65" s="331">
        <f>C47*Inputs!$H54</f>
        <v>0</v>
      </c>
      <c r="D65" s="331">
        <f>D47*Inputs!$H54</f>
        <v>0</v>
      </c>
      <c r="E65" s="331">
        <f>E47*Inputs!$H54</f>
        <v>0.14220000000000002</v>
      </c>
      <c r="F65" s="331">
        <f>F47*Inputs!$H54</f>
        <v>0.14220000000000002</v>
      </c>
      <c r="G65" s="331">
        <f>G47*Inputs!$H54</f>
        <v>0.14220000000000002</v>
      </c>
      <c r="H65" s="14">
        <f>H47*Inputs!$H54</f>
        <v>0.14220000000000002</v>
      </c>
      <c r="I65" s="14">
        <f>I47*Inputs!$H54</f>
        <v>0.14220000000000002</v>
      </c>
      <c r="J65" s="14">
        <f>J47*Inputs!$H54</f>
        <v>0.14220000000000002</v>
      </c>
      <c r="K65" s="14">
        <f>K47*Inputs!$H54</f>
        <v>0.14220000000000002</v>
      </c>
      <c r="L65" s="14">
        <f>L47*Inputs!$H54</f>
        <v>0.14220000000000002</v>
      </c>
      <c r="M65" s="14">
        <f>M47*Inputs!$H54</f>
        <v>0.14220000000000002</v>
      </c>
      <c r="N65" s="190">
        <f>N47*Inputs!$H54</f>
        <v>0.14220000000000002</v>
      </c>
      <c r="O65" s="14">
        <f>O47*Inputs!$H54</f>
        <v>0.14220000000000002</v>
      </c>
      <c r="P65" s="14">
        <f>P47*Inputs!$H54</f>
        <v>0.14220000000000002</v>
      </c>
      <c r="Q65" s="14">
        <f>Q47*Inputs!$H54</f>
        <v>0.14220000000000002</v>
      </c>
      <c r="R65" s="14">
        <f>R47*Inputs!$H54</f>
        <v>0.14220000000000002</v>
      </c>
      <c r="S65" s="14">
        <f>S47*Inputs!$H54</f>
        <v>0.14220000000000002</v>
      </c>
      <c r="T65" s="14">
        <f>T47*Inputs!$H54</f>
        <v>0.14220000000000002</v>
      </c>
      <c r="U65" s="14">
        <f>U47*Inputs!$H54</f>
        <v>0.14220000000000002</v>
      </c>
      <c r="V65" s="14">
        <f>V47*Inputs!$H54</f>
        <v>0.14220000000000002</v>
      </c>
      <c r="W65" s="14">
        <f>W47*Inputs!$H54</f>
        <v>0.14220000000000002</v>
      </c>
      <c r="X65" s="187">
        <f>X47*Inputs!$H54</f>
        <v>0.14220000000000002</v>
      </c>
      <c r="Y65" s="14">
        <f>Y47*Inputs!$H54</f>
        <v>0.14220000000000002</v>
      </c>
      <c r="Z65" s="14">
        <f>Z47*Inputs!$H54</f>
        <v>0.14220000000000002</v>
      </c>
      <c r="AA65" s="14">
        <f>AA47*Inputs!$H54</f>
        <v>0.14220000000000002</v>
      </c>
      <c r="AB65" s="14">
        <f>AB47*Inputs!$H54</f>
        <v>0.14220000000000002</v>
      </c>
      <c r="AC65" s="14">
        <f>AC47*Inputs!$H54</f>
        <v>0.14220000000000002</v>
      </c>
      <c r="AD65" s="14">
        <f>AD47*Inputs!$H54</f>
        <v>0.14220000000000002</v>
      </c>
      <c r="AE65" s="14">
        <f>AE47*Inputs!$H54</f>
        <v>0.14220000000000002</v>
      </c>
      <c r="AF65" s="14">
        <f>AF47*Inputs!$H54</f>
        <v>0.14220000000000002</v>
      </c>
      <c r="AG65" s="14">
        <f>AG47*Inputs!$H54</f>
        <v>0.14220000000000002</v>
      </c>
      <c r="AH65" s="14">
        <f>AH47*Inputs!$H54</f>
        <v>0</v>
      </c>
    </row>
    <row r="66" spans="1:34" ht="15">
      <c r="A66" s="8" t="s">
        <v>348</v>
      </c>
      <c r="B66" s="34">
        <v>1</v>
      </c>
      <c r="C66" s="331">
        <f>C48*Inputs!$H55</f>
        <v>0</v>
      </c>
      <c r="D66" s="331">
        <f>D48*Inputs!$H55</f>
        <v>0</v>
      </c>
      <c r="E66" s="331">
        <f>E48*Inputs!$H55</f>
        <v>2.0700000000000003E-2</v>
      </c>
      <c r="F66" s="331">
        <f>F48*Inputs!$H55</f>
        <v>2.0700000000000003E-2</v>
      </c>
      <c r="G66" s="331">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0">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7">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160.95600000000002</v>
      </c>
      <c r="D68" s="331">
        <f>D50*Inputs!$H57</f>
        <v>166.464</v>
      </c>
      <c r="E68" s="331">
        <f>E50*Inputs!$H57</f>
        <v>159.95113216325819</v>
      </c>
      <c r="F68" s="331">
        <f>F50*Inputs!$H57</f>
        <v>187.2658828936591</v>
      </c>
      <c r="G68" s="331">
        <f>G50*Inputs!$H57</f>
        <v>198.36503344700509</v>
      </c>
      <c r="H68" s="14">
        <f>H50*Inputs!$H57</f>
        <v>200.64483552896732</v>
      </c>
      <c r="I68" s="14">
        <f>I50*Inputs!$H57</f>
        <v>240.82243519900791</v>
      </c>
      <c r="J68" s="14">
        <f>J50*Inputs!$H57</f>
        <v>266.3230757387127</v>
      </c>
      <c r="K68" s="14">
        <f>K50*Inputs!$H57</f>
        <v>266.4632824621122</v>
      </c>
      <c r="L68" s="14">
        <f>L50*Inputs!$H57</f>
        <v>266.46584617468676</v>
      </c>
      <c r="M68" s="14">
        <f>M50*Inputs!$H57</f>
        <v>266.46584617468676</v>
      </c>
      <c r="N68" s="190">
        <f>N50*Inputs!$H57</f>
        <v>266.47446473838761</v>
      </c>
      <c r="O68" s="14">
        <f>O50*Inputs!$H57</f>
        <v>266.43873816315607</v>
      </c>
      <c r="P68" s="14">
        <f>P50*Inputs!$H57</f>
        <v>266.4420402722094</v>
      </c>
      <c r="Q68" s="14">
        <f>Q50*Inputs!$H57</f>
        <v>266.43176179322415</v>
      </c>
      <c r="R68" s="14">
        <f>R50*Inputs!$H57</f>
        <v>266.43022592854817</v>
      </c>
      <c r="S68" s="14">
        <f>S50*Inputs!$H57</f>
        <v>266.42111706958536</v>
      </c>
      <c r="T68" s="14">
        <f>T50*Inputs!$H57</f>
        <v>266.41658626879126</v>
      </c>
      <c r="U68" s="14">
        <f>U50*Inputs!$H57</f>
        <v>266.37055167871529</v>
      </c>
      <c r="V68" s="14">
        <f>V50*Inputs!$H57</f>
        <v>266.36002509851312</v>
      </c>
      <c r="W68" s="14">
        <f>W50*Inputs!$H57</f>
        <v>266.35161328582637</v>
      </c>
      <c r="X68" s="187">
        <f>X50*Inputs!$H57</f>
        <v>266.33187742474036</v>
      </c>
      <c r="Y68" s="14">
        <f>Y50*Inputs!$H57</f>
        <v>266.33937362579331</v>
      </c>
      <c r="Z68" s="14">
        <f>Z50*Inputs!$H57</f>
        <v>266.35466729366277</v>
      </c>
      <c r="AA68" s="14">
        <f>AA50*Inputs!$H57</f>
        <v>266.46937275626965</v>
      </c>
      <c r="AB68" s="14">
        <f>AB50*Inputs!$H57</f>
        <v>266.71792291821441</v>
      </c>
      <c r="AC68" s="14">
        <f>AC50*Inputs!$H57</f>
        <v>266.9691254003111</v>
      </c>
      <c r="AD68" s="14">
        <f>AD50*Inputs!$H57</f>
        <v>266.94719797847597</v>
      </c>
      <c r="AE68" s="14">
        <f>AE50*Inputs!$H57</f>
        <v>267.37907131101184</v>
      </c>
      <c r="AF68" s="14">
        <f>AF50*Inputs!$H57</f>
        <v>267.67379192798467</v>
      </c>
      <c r="AG68" s="14">
        <f>AG50*Inputs!$H57</f>
        <v>268.1309774918148</v>
      </c>
      <c r="AH68" s="14">
        <f>AH50*Inputs!$H57</f>
        <v>268.8713765018918</v>
      </c>
    </row>
    <row r="69" spans="1:34" s="20" customFormat="1" ht="15">
      <c r="A69" s="8" t="s">
        <v>128</v>
      </c>
      <c r="B69" s="38"/>
      <c r="C69" s="334">
        <f t="shared" ref="C69:AH69" si="25">SUMPRODUCT($B60:$B68,C60:C68)</f>
        <v>372.31443000000002</v>
      </c>
      <c r="D69" s="334">
        <f t="shared" si="25"/>
        <v>395.85843</v>
      </c>
      <c r="E69" s="334">
        <f t="shared" si="25"/>
        <v>497.48125607175911</v>
      </c>
      <c r="F69" s="334">
        <f t="shared" si="25"/>
        <v>558.06902157203115</v>
      </c>
      <c r="G69" s="334">
        <f t="shared" si="25"/>
        <v>511.85050010989056</v>
      </c>
      <c r="H69" s="19">
        <f t="shared" si="25"/>
        <v>553.6514103379742</v>
      </c>
      <c r="I69" s="19">
        <f t="shared" si="25"/>
        <v>598.80986878454576</v>
      </c>
      <c r="J69" s="19">
        <f t="shared" si="25"/>
        <v>643.52467323049223</v>
      </c>
      <c r="K69" s="19">
        <f t="shared" si="25"/>
        <v>652.83582265834366</v>
      </c>
      <c r="L69" s="19">
        <f t="shared" si="25"/>
        <v>675.28263451089708</v>
      </c>
      <c r="M69" s="19">
        <f t="shared" si="25"/>
        <v>689.87992659241445</v>
      </c>
      <c r="N69" s="190">
        <f t="shared" si="25"/>
        <v>712.83477698566378</v>
      </c>
      <c r="O69" s="19">
        <f t="shared" si="25"/>
        <v>727.7526248975613</v>
      </c>
      <c r="P69" s="19">
        <f t="shared" si="25"/>
        <v>748.05439353060547</v>
      </c>
      <c r="Q69" s="19">
        <f t="shared" si="25"/>
        <v>759.79071713309747</v>
      </c>
      <c r="R69" s="19">
        <f t="shared" si="25"/>
        <v>784.53669203172899</v>
      </c>
      <c r="S69" s="19">
        <f t="shared" si="25"/>
        <v>796.74943466701643</v>
      </c>
      <c r="T69" s="19">
        <f t="shared" si="25"/>
        <v>808.44826100286036</v>
      </c>
      <c r="U69" s="19">
        <f t="shared" si="25"/>
        <v>819.99507347869405</v>
      </c>
      <c r="V69" s="19">
        <f t="shared" si="25"/>
        <v>829.23474944872839</v>
      </c>
      <c r="W69" s="19">
        <f t="shared" si="25"/>
        <v>839.64379671511711</v>
      </c>
      <c r="X69" s="182">
        <f t="shared" si="25"/>
        <v>852.29744957096773</v>
      </c>
      <c r="Y69" s="19">
        <f t="shared" si="25"/>
        <v>862.06736221185963</v>
      </c>
      <c r="Z69" s="19">
        <f t="shared" si="25"/>
        <v>871.34533775776958</v>
      </c>
      <c r="AA69" s="19">
        <f t="shared" si="25"/>
        <v>883.7453044932812</v>
      </c>
      <c r="AB69" s="19">
        <f t="shared" si="25"/>
        <v>896.76488576379222</v>
      </c>
      <c r="AC69" s="19">
        <f t="shared" si="25"/>
        <v>908.68049230227587</v>
      </c>
      <c r="AD69" s="19">
        <f t="shared" si="25"/>
        <v>920.97458045964856</v>
      </c>
      <c r="AE69" s="19">
        <f t="shared" si="25"/>
        <v>932.10502971968549</v>
      </c>
      <c r="AF69" s="19">
        <f t="shared" si="25"/>
        <v>943.45304616899432</v>
      </c>
      <c r="AG69" s="19">
        <f t="shared" si="25"/>
        <v>956.33514165316319</v>
      </c>
      <c r="AH69" s="19">
        <f t="shared" si="25"/>
        <v>967.43459830016582</v>
      </c>
    </row>
    <row r="70" spans="1:34" s="20" customFormat="1" ht="15">
      <c r="A70" s="27" t="s">
        <v>329</v>
      </c>
      <c r="B70" s="39"/>
      <c r="C70" s="334">
        <f>SUM(C58:C68)</f>
        <v>2158.5610800000004</v>
      </c>
      <c r="D70" s="334">
        <f t="shared" ref="D70:AH70" si="26">SUM(D58:D68)</f>
        <v>2354.3830800000001</v>
      </c>
      <c r="E70" s="334">
        <f t="shared" si="26"/>
        <v>2309.5541373062797</v>
      </c>
      <c r="F70" s="334">
        <f t="shared" si="26"/>
        <v>2216.119593877896</v>
      </c>
      <c r="G70" s="334">
        <f t="shared" si="26"/>
        <v>2049.6661651420563</v>
      </c>
      <c r="H70" s="19">
        <f t="shared" si="26"/>
        <v>2094.8098140037155</v>
      </c>
      <c r="I70" s="19">
        <f t="shared" si="26"/>
        <v>2185.6701115585288</v>
      </c>
      <c r="J70" s="19">
        <f t="shared" si="26"/>
        <v>2056.4722758888265</v>
      </c>
      <c r="K70" s="19">
        <f t="shared" si="26"/>
        <v>2183.1084523191448</v>
      </c>
      <c r="L70" s="19">
        <f t="shared" si="26"/>
        <v>1783.114908860872</v>
      </c>
      <c r="M70" s="19">
        <f t="shared" si="26"/>
        <v>1797.7122009423892</v>
      </c>
      <c r="N70" s="182">
        <f t="shared" si="26"/>
        <v>1398.3493737356389</v>
      </c>
      <c r="O70" s="19">
        <f t="shared" si="26"/>
        <v>1413.2672216475364</v>
      </c>
      <c r="P70" s="19">
        <f t="shared" si="26"/>
        <v>1433.5689902805805</v>
      </c>
      <c r="Q70" s="19">
        <f t="shared" si="26"/>
        <v>1445.3053138830724</v>
      </c>
      <c r="R70" s="19">
        <f t="shared" si="26"/>
        <v>1470.051288781704</v>
      </c>
      <c r="S70" s="19">
        <f t="shared" si="26"/>
        <v>1482.2640314169912</v>
      </c>
      <c r="T70" s="19">
        <f t="shared" si="26"/>
        <v>1493.9628577528354</v>
      </c>
      <c r="U70" s="19">
        <f t="shared" si="26"/>
        <v>1520.3006388886579</v>
      </c>
      <c r="V70" s="19">
        <f t="shared" si="26"/>
        <v>1529.5403148586925</v>
      </c>
      <c r="W70" s="19">
        <f t="shared" si="26"/>
        <v>1539.9493621250813</v>
      </c>
      <c r="X70" s="182">
        <f t="shared" si="26"/>
        <v>1554.2165587065688</v>
      </c>
      <c r="Y70" s="19">
        <f t="shared" si="26"/>
        <v>1563.9864713474603</v>
      </c>
      <c r="Z70" s="19">
        <f t="shared" si="26"/>
        <v>1575.0344444705854</v>
      </c>
      <c r="AA70" s="19">
        <f t="shared" si="26"/>
        <v>1587.4344112060971</v>
      </c>
      <c r="AB70" s="19">
        <f t="shared" si="26"/>
        <v>1600.4539924766082</v>
      </c>
      <c r="AC70" s="19">
        <f t="shared" si="26"/>
        <v>1612.3695990150918</v>
      </c>
      <c r="AD70" s="19">
        <f t="shared" si="26"/>
        <v>1624.6636871724643</v>
      </c>
      <c r="AE70" s="19">
        <f t="shared" si="26"/>
        <v>1635.7941364325013</v>
      </c>
      <c r="AF70" s="19">
        <f t="shared" si="26"/>
        <v>1647.14215288181</v>
      </c>
      <c r="AG70" s="19">
        <f t="shared" si="26"/>
        <v>1660.0242483659792</v>
      </c>
      <c r="AH70" s="19">
        <f t="shared" si="26"/>
        <v>1671.1237050129814</v>
      </c>
    </row>
    <row r="71" spans="1:34" s="20" customFormat="1" ht="15">
      <c r="A71" s="27" t="s">
        <v>142</v>
      </c>
      <c r="B71" s="39"/>
      <c r="C71" s="334">
        <f>C53*Inputs!$H$60</f>
        <v>3690.7200000000003</v>
      </c>
      <c r="D71" s="334">
        <f>D53*Inputs!$H$60</f>
        <v>3976.7310000000002</v>
      </c>
      <c r="E71" s="334">
        <f>E53*Inputs!$H$60</f>
        <v>4201.0650593999999</v>
      </c>
      <c r="F71" s="334">
        <f>F53*Inputs!$H$60</f>
        <v>3910.5396297000002</v>
      </c>
      <c r="G71" s="334">
        <f>G53*Inputs!$H$60</f>
        <v>4043.1035600999994</v>
      </c>
      <c r="H71" s="19">
        <f>H53*Inputs!$H$60</f>
        <v>4024.5159933</v>
      </c>
      <c r="I71" s="19">
        <f>I53*Inputs!$H$60</f>
        <v>4130.9417258999993</v>
      </c>
      <c r="J71" s="19">
        <f>J53*Inputs!$H$60</f>
        <v>3860.2082574000005</v>
      </c>
      <c r="K71" s="19">
        <f>K53*Inputs!$H$60</f>
        <v>3792.3314318999992</v>
      </c>
      <c r="L71" s="19">
        <f>L53*Inputs!$H$60</f>
        <v>3876.9448608000002</v>
      </c>
      <c r="M71" s="19">
        <f>M53*Inputs!$H$60</f>
        <v>3913.6105503000003</v>
      </c>
      <c r="N71" s="190">
        <f>N53*Inputs!$H$60</f>
        <v>3938.2088030999994</v>
      </c>
      <c r="O71" s="19">
        <f>O53*Inputs!$H$60</f>
        <v>3948.5515608000001</v>
      </c>
      <c r="P71" s="19">
        <f>P53*Inputs!$H$60</f>
        <v>3959.3404718999991</v>
      </c>
      <c r="Q71" s="19">
        <f>Q53*Inputs!$H$60</f>
        <v>3982.1588333999998</v>
      </c>
      <c r="R71" s="19">
        <f>R53*Inputs!$H$60</f>
        <v>4000.2763679999998</v>
      </c>
      <c r="S71" s="19">
        <f>S53*Inputs!$H$60</f>
        <v>4010.6726154000007</v>
      </c>
      <c r="T71" s="19">
        <f>T53*Inputs!$H$60</f>
        <v>4012.2938492999997</v>
      </c>
      <c r="U71" s="19">
        <f>U53*Inputs!$H$60</f>
        <v>4006.2291983999999</v>
      </c>
      <c r="V71" s="19">
        <f>V53*Inputs!$H$60</f>
        <v>3998.5976943000001</v>
      </c>
      <c r="W71" s="19">
        <f>W53*Inputs!$H$60</f>
        <v>4000.8298869000005</v>
      </c>
      <c r="X71" s="182">
        <f>X53*Inputs!$H$60</f>
        <v>4001.8173524999988</v>
      </c>
      <c r="Y71" s="19">
        <f>Y53*Inputs!$H$60</f>
        <v>4001.0180660999999</v>
      </c>
      <c r="Z71" s="19">
        <f>Z53*Inputs!$H$60</f>
        <v>3997.6411166999997</v>
      </c>
      <c r="AA71" s="19">
        <f>AA53*Inputs!$H$60</f>
        <v>3995.5490190000005</v>
      </c>
      <c r="AB71" s="19">
        <f>AB53*Inputs!$H$60</f>
        <v>3991.7415086999999</v>
      </c>
      <c r="AC71" s="19">
        <f>AC53*Inputs!$H$60</f>
        <v>3989.1351851999998</v>
      </c>
      <c r="AD71" s="19">
        <f>AD53*Inputs!$H$60</f>
        <v>3985.7611761000003</v>
      </c>
      <c r="AE71" s="19">
        <f>AE53*Inputs!$H$60</f>
        <v>3982.2937605000002</v>
      </c>
      <c r="AF71" s="19">
        <f>AF53*Inputs!$H$60</f>
        <v>3978.6611535000002</v>
      </c>
      <c r="AG71" s="19">
        <f>AG53*Inputs!$H$60</f>
        <v>3975.5210319000007</v>
      </c>
      <c r="AH71" s="19">
        <f>AH53*Inputs!$H$60</f>
        <v>3972.6109962</v>
      </c>
    </row>
    <row r="72" spans="1:34" s="20" customFormat="1" ht="15">
      <c r="A72" s="27" t="s">
        <v>222</v>
      </c>
      <c r="B72" s="39"/>
      <c r="C72" s="334">
        <f>C54*Inputs!$H$61</f>
        <v>542.91600000000005</v>
      </c>
      <c r="D72" s="334">
        <f>D54*Inputs!$H$61</f>
        <v>544.20299999999997</v>
      </c>
      <c r="E72" s="334">
        <f>E54*Inputs!$H$61</f>
        <v>296.48313548535435</v>
      </c>
      <c r="F72" s="334">
        <f>F54*Inputs!$H$61</f>
        <v>566.40355196366295</v>
      </c>
      <c r="G72" s="334">
        <f>G54*Inputs!$H$61</f>
        <v>177.64267079437332</v>
      </c>
      <c r="H72" s="19">
        <f>H54*Inputs!$H$61</f>
        <v>272.51120564307638</v>
      </c>
      <c r="I72" s="19">
        <f>I54*Inputs!$H$61</f>
        <v>258.26829534825185</v>
      </c>
      <c r="J72" s="19">
        <f>J54*Inputs!$H$61</f>
        <v>669.85023505614777</v>
      </c>
      <c r="K72" s="19">
        <f>K54*Inputs!$H$61</f>
        <v>767.22475752666719</v>
      </c>
      <c r="L72" s="19">
        <f>L54*Inputs!$H$61</f>
        <v>909.37705722922919</v>
      </c>
      <c r="M72" s="19">
        <f>M54*Inputs!$H$61</f>
        <v>981.83719958157894</v>
      </c>
      <c r="N72" s="190">
        <f>N54*Inputs!$H$61</f>
        <v>1157.2822908278026</v>
      </c>
      <c r="O72" s="19">
        <f>O54*Inputs!$H$61</f>
        <v>1210.6465683302408</v>
      </c>
      <c r="P72" s="19">
        <f>P54*Inputs!$H$61</f>
        <v>1230.6041630170062</v>
      </c>
      <c r="Q72" s="19">
        <f>Q54*Inputs!$H$61</f>
        <v>1312.2351153198656</v>
      </c>
      <c r="R72" s="19">
        <f>R54*Inputs!$H$61</f>
        <v>1346.5288213257174</v>
      </c>
      <c r="S72" s="19">
        <f>S54*Inputs!$H$61</f>
        <v>1362.485273262645</v>
      </c>
      <c r="T72" s="19">
        <f>T54*Inputs!$H$61</f>
        <v>1443.3781626681762</v>
      </c>
      <c r="U72" s="19">
        <f>U54*Inputs!$H$61</f>
        <v>1515.0506045104798</v>
      </c>
      <c r="V72" s="19">
        <f>V54*Inputs!$H$61</f>
        <v>1544.2877753125254</v>
      </c>
      <c r="W72" s="19">
        <f>W54*Inputs!$H$61</f>
        <v>1610.3412963407707</v>
      </c>
      <c r="X72" s="182">
        <f>X54*Inputs!$H$61</f>
        <v>1661.856311768626</v>
      </c>
      <c r="Y72" s="19">
        <f>Y54*Inputs!$H$61</f>
        <v>1681.7705803173308</v>
      </c>
      <c r="Z72" s="19">
        <f>Z54*Inputs!$H$61</f>
        <v>1702.3486926177698</v>
      </c>
      <c r="AA72" s="19">
        <f>AA54*Inputs!$H$61</f>
        <v>1717.8395190709584</v>
      </c>
      <c r="AB72" s="19">
        <f>AB54*Inputs!$H$61</f>
        <v>1680.3312319125944</v>
      </c>
      <c r="AC72" s="19">
        <f>AC54*Inputs!$H$61</f>
        <v>1714.7941613667767</v>
      </c>
      <c r="AD72" s="19">
        <f>AD54*Inputs!$H$61</f>
        <v>1704.8111642827384</v>
      </c>
      <c r="AE72" s="19">
        <f>AE54*Inputs!$H$61</f>
        <v>1711.1238253074339</v>
      </c>
      <c r="AF72" s="19">
        <f>AF54*Inputs!$H$61</f>
        <v>1734.9351684561764</v>
      </c>
      <c r="AG72" s="19">
        <f>AG54*Inputs!$H$61</f>
        <v>1832.8943327896857</v>
      </c>
      <c r="AH72" s="19">
        <f>AH54*Inputs!$H$61</f>
        <v>1894.4327292484465</v>
      </c>
    </row>
    <row r="73" spans="1:34" ht="15">
      <c r="A73" s="27" t="s">
        <v>58</v>
      </c>
      <c r="C73" s="331">
        <f>SUM(C70:C72)</f>
        <v>6392.1970800000008</v>
      </c>
      <c r="D73" s="331">
        <f t="shared" ref="D73:AH73" si="27">SUM(D70:D72)</f>
        <v>6875.3170800000007</v>
      </c>
      <c r="E73" s="331">
        <f t="shared" si="27"/>
        <v>6807.1023321916336</v>
      </c>
      <c r="F73" s="331">
        <f t="shared" si="27"/>
        <v>6693.0627755415589</v>
      </c>
      <c r="G73" s="331">
        <f t="shared" si="27"/>
        <v>6270.4123960364286</v>
      </c>
      <c r="H73" s="14">
        <f t="shared" si="27"/>
        <v>6391.8370129467921</v>
      </c>
      <c r="I73" s="14">
        <f t="shared" si="27"/>
        <v>6574.8801328067793</v>
      </c>
      <c r="J73" s="14">
        <f t="shared" si="27"/>
        <v>6586.5307683449746</v>
      </c>
      <c r="K73" s="14">
        <f t="shared" si="27"/>
        <v>6742.6646417458114</v>
      </c>
      <c r="L73" s="14">
        <f t="shared" si="27"/>
        <v>6569.4368268901017</v>
      </c>
      <c r="M73" s="14">
        <f t="shared" si="27"/>
        <v>6693.1599508239678</v>
      </c>
      <c r="N73" s="190">
        <f t="shared" si="27"/>
        <v>6493.8404676634418</v>
      </c>
      <c r="O73" s="14">
        <f t="shared" si="27"/>
        <v>6572.4653507777766</v>
      </c>
      <c r="P73" s="14">
        <f t="shared" si="27"/>
        <v>6623.5136251975855</v>
      </c>
      <c r="Q73" s="14">
        <f t="shared" si="27"/>
        <v>6739.6992626029369</v>
      </c>
      <c r="R73" s="14">
        <f t="shared" si="27"/>
        <v>6816.856478107421</v>
      </c>
      <c r="S73" s="14">
        <f t="shared" si="27"/>
        <v>6855.4219200796369</v>
      </c>
      <c r="T73" s="14">
        <f t="shared" si="27"/>
        <v>6949.6348697210105</v>
      </c>
      <c r="U73" s="14">
        <f t="shared" si="27"/>
        <v>7041.5804417991367</v>
      </c>
      <c r="V73" s="14">
        <f t="shared" si="27"/>
        <v>7072.4257844712174</v>
      </c>
      <c r="W73" s="14">
        <f t="shared" si="27"/>
        <v>7151.1205453658522</v>
      </c>
      <c r="X73" s="187">
        <f t="shared" si="27"/>
        <v>7217.8902229751939</v>
      </c>
      <c r="Y73" s="14">
        <f t="shared" si="27"/>
        <v>7246.7751177647915</v>
      </c>
      <c r="Z73" s="14">
        <f t="shared" si="27"/>
        <v>7275.0242537883551</v>
      </c>
      <c r="AA73" s="14">
        <f t="shared" si="27"/>
        <v>7300.8229492770552</v>
      </c>
      <c r="AB73" s="14">
        <f t="shared" si="27"/>
        <v>7272.526733089202</v>
      </c>
      <c r="AC73" s="14">
        <f t="shared" si="27"/>
        <v>7316.2989455818679</v>
      </c>
      <c r="AD73" s="14">
        <f t="shared" si="27"/>
        <v>7315.2360275552037</v>
      </c>
      <c r="AE73" s="14">
        <f t="shared" si="27"/>
        <v>7329.2117222399356</v>
      </c>
      <c r="AF73" s="14">
        <f t="shared" si="27"/>
        <v>7360.7384748379864</v>
      </c>
      <c r="AG73" s="14">
        <f t="shared" si="27"/>
        <v>7468.4396130556661</v>
      </c>
      <c r="AH73" s="14">
        <f t="shared" si="27"/>
        <v>7538.167430461428</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32"/>
      <c r="B1" s="532"/>
      <c r="C1" s="532"/>
      <c r="D1" s="532"/>
      <c r="E1" s="532"/>
      <c r="F1" s="532"/>
      <c r="G1" s="532"/>
      <c r="H1" s="532"/>
      <c r="I1" s="532"/>
      <c r="J1" s="532"/>
      <c r="K1" s="532"/>
      <c r="L1" s="532"/>
      <c r="M1" s="532"/>
      <c r="N1" s="532"/>
      <c r="O1" s="532"/>
      <c r="P1" s="532"/>
    </row>
    <row r="2" spans="1:16">
      <c r="A2" s="532"/>
      <c r="B2" s="532"/>
      <c r="C2" s="532"/>
      <c r="D2" s="532"/>
      <c r="E2" s="532"/>
      <c r="F2" s="532"/>
      <c r="G2" s="532"/>
      <c r="H2" s="532"/>
      <c r="I2" s="532"/>
      <c r="J2" s="532"/>
      <c r="K2" s="532"/>
      <c r="L2" s="532"/>
      <c r="M2" s="532"/>
      <c r="N2" s="532"/>
      <c r="O2" s="532"/>
      <c r="P2" s="532"/>
    </row>
    <row r="3" spans="1:16">
      <c r="A3" s="532"/>
      <c r="B3" s="532"/>
      <c r="C3" s="532"/>
      <c r="D3" s="532"/>
      <c r="E3" s="532"/>
      <c r="F3" s="532"/>
      <c r="G3" s="532"/>
      <c r="H3" s="532"/>
      <c r="I3" s="532"/>
      <c r="J3" s="532"/>
      <c r="K3" s="532"/>
      <c r="L3" s="532"/>
      <c r="M3" s="532"/>
      <c r="N3" s="532"/>
      <c r="O3" s="532"/>
      <c r="P3" s="532"/>
    </row>
    <row r="4" spans="1:16">
      <c r="A4" s="532"/>
      <c r="B4" s="532"/>
      <c r="C4" s="532"/>
      <c r="D4" s="532"/>
      <c r="E4" s="532"/>
      <c r="F4" s="532"/>
      <c r="G4" s="532"/>
      <c r="H4" s="532"/>
      <c r="I4" s="532"/>
      <c r="J4" s="532"/>
      <c r="K4" s="532"/>
      <c r="L4" s="532"/>
      <c r="M4" s="532"/>
      <c r="N4" s="532"/>
      <c r="O4" s="532"/>
      <c r="P4" s="532"/>
    </row>
    <row r="5" spans="1:16">
      <c r="A5" s="532"/>
      <c r="B5" s="532"/>
      <c r="C5" s="532"/>
      <c r="D5" s="532"/>
      <c r="E5" s="532"/>
      <c r="F5" s="532"/>
      <c r="G5" s="532"/>
      <c r="H5" s="532"/>
      <c r="I5" s="532"/>
      <c r="J5" s="532"/>
      <c r="K5" s="532"/>
      <c r="L5" s="532"/>
      <c r="M5" s="532"/>
      <c r="N5" s="532"/>
      <c r="O5" s="532"/>
      <c r="P5" s="532"/>
    </row>
    <row r="6" spans="1:16">
      <c r="A6" s="532"/>
      <c r="B6" s="532"/>
      <c r="C6" s="532"/>
      <c r="D6" s="532"/>
      <c r="E6" s="532"/>
      <c r="F6" s="532"/>
      <c r="G6" s="532"/>
      <c r="H6" s="532"/>
      <c r="I6" s="532"/>
      <c r="J6" s="532"/>
      <c r="K6" s="532"/>
      <c r="L6" s="532"/>
      <c r="M6" s="532"/>
      <c r="N6" s="532"/>
      <c r="O6" s="532"/>
      <c r="P6" s="532"/>
    </row>
    <row r="7" spans="1:16">
      <c r="A7" s="532"/>
      <c r="B7" s="532"/>
      <c r="C7" s="532"/>
      <c r="D7" s="532"/>
      <c r="E7" s="532"/>
      <c r="F7" s="532"/>
      <c r="G7" s="532"/>
      <c r="H7" s="532"/>
      <c r="I7" s="532"/>
      <c r="J7" s="532"/>
      <c r="K7" s="532"/>
      <c r="L7" s="532"/>
      <c r="M7" s="532"/>
      <c r="N7" s="532"/>
      <c r="O7" s="532"/>
      <c r="P7" s="532"/>
    </row>
    <row r="8" spans="1:16">
      <c r="A8" s="532"/>
      <c r="B8" s="532"/>
      <c r="C8" s="532"/>
      <c r="D8" s="532"/>
      <c r="E8" s="532"/>
      <c r="F8" s="532"/>
      <c r="G8" s="532"/>
      <c r="H8" s="532"/>
      <c r="I8" s="532"/>
      <c r="J8" s="532"/>
      <c r="K8" s="532"/>
      <c r="L8" s="532"/>
      <c r="M8" s="532"/>
      <c r="N8" s="532"/>
      <c r="O8" s="532"/>
      <c r="P8" s="532"/>
    </row>
    <row r="9" spans="1:16" ht="2.25" customHeight="1">
      <c r="A9" s="532"/>
      <c r="B9" s="532"/>
      <c r="C9" s="532"/>
      <c r="D9" s="532"/>
      <c r="E9" s="532"/>
      <c r="F9" s="532"/>
      <c r="G9" s="532"/>
      <c r="H9" s="532"/>
      <c r="I9" s="532"/>
      <c r="J9" s="532"/>
      <c r="K9" s="532"/>
      <c r="L9" s="532"/>
      <c r="M9" s="532"/>
      <c r="N9" s="532"/>
      <c r="O9" s="532"/>
      <c r="P9" s="532"/>
    </row>
    <row r="10" spans="1:16" hidden="1">
      <c r="A10" s="532"/>
      <c r="B10" s="532"/>
      <c r="C10" s="532"/>
      <c r="D10" s="532"/>
      <c r="E10" s="532"/>
      <c r="F10" s="532"/>
      <c r="G10" s="532"/>
      <c r="H10" s="532"/>
      <c r="I10" s="532"/>
      <c r="J10" s="532"/>
      <c r="K10" s="532"/>
      <c r="L10" s="532"/>
      <c r="M10" s="532"/>
      <c r="N10" s="532"/>
      <c r="O10" s="532"/>
      <c r="P10" s="532"/>
    </row>
    <row r="11" spans="1:16">
      <c r="A11" s="533" t="s">
        <v>212</v>
      </c>
      <c r="B11" s="535">
        <v>2000</v>
      </c>
      <c r="C11" s="537" t="s">
        <v>219</v>
      </c>
      <c r="D11" s="537" t="s">
        <v>556</v>
      </c>
      <c r="E11" s="540" t="s">
        <v>213</v>
      </c>
      <c r="F11" s="541"/>
      <c r="G11" s="535"/>
      <c r="H11" s="544" t="s">
        <v>557</v>
      </c>
      <c r="I11" s="545"/>
      <c r="J11" s="545"/>
      <c r="K11" s="545"/>
      <c r="L11" s="545"/>
      <c r="M11" s="545"/>
      <c r="N11" s="545"/>
      <c r="O11" s="546"/>
    </row>
    <row r="12" spans="1:16">
      <c r="A12" s="534"/>
      <c r="B12" s="536"/>
      <c r="C12" s="538"/>
      <c r="D12" s="538"/>
      <c r="E12" s="542"/>
      <c r="F12" s="543"/>
      <c r="G12" s="536"/>
      <c r="H12" s="543" t="s">
        <v>214</v>
      </c>
      <c r="I12" s="536"/>
      <c r="J12" s="542" t="s">
        <v>215</v>
      </c>
      <c r="K12" s="536"/>
      <c r="L12" s="542" t="s">
        <v>216</v>
      </c>
      <c r="M12" s="543"/>
      <c r="N12" s="543"/>
      <c r="O12" s="536"/>
    </row>
    <row r="13" spans="1:16" ht="67" thickBot="1">
      <c r="A13" s="211" t="s">
        <v>217</v>
      </c>
      <c r="B13" s="211" t="s">
        <v>218</v>
      </c>
      <c r="C13" s="539"/>
      <c r="D13" s="539"/>
      <c r="E13" s="411" t="s">
        <v>558</v>
      </c>
      <c r="F13" s="435" t="s">
        <v>559</v>
      </c>
      <c r="G13" s="212" t="s">
        <v>308</v>
      </c>
      <c r="H13" s="423" t="s">
        <v>360</v>
      </c>
      <c r="I13" s="435" t="s">
        <v>560</v>
      </c>
      <c r="J13" s="411" t="s">
        <v>360</v>
      </c>
      <c r="K13" s="435" t="s">
        <v>560</v>
      </c>
      <c r="L13" s="411" t="s">
        <v>360</v>
      </c>
      <c r="M13" s="435" t="s">
        <v>560</v>
      </c>
      <c r="N13" s="212" t="s">
        <v>58</v>
      </c>
      <c r="O13" s="212" t="s">
        <v>561</v>
      </c>
    </row>
    <row r="14" spans="1:16" ht="13" thickTop="1">
      <c r="A14" s="443" t="s">
        <v>562</v>
      </c>
      <c r="B14" s="443" t="s">
        <v>563</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55">
        <f>AVERAGE(N14:N15)</f>
        <v>0.20532702121944668</v>
      </c>
    </row>
    <row r="15" spans="1:16" ht="13" thickBot="1">
      <c r="A15" s="223" t="s">
        <v>564</v>
      </c>
      <c r="B15" s="223" t="s">
        <v>565</v>
      </c>
      <c r="C15" s="224">
        <v>0.85</v>
      </c>
      <c r="D15" s="225">
        <v>40</v>
      </c>
      <c r="E15" s="226">
        <v>8.5</v>
      </c>
      <c r="F15" s="432">
        <v>0.24</v>
      </c>
      <c r="G15" s="527">
        <v>0.13</v>
      </c>
      <c r="H15" s="414">
        <f t="shared" si="0"/>
        <v>0.21249999999999999</v>
      </c>
      <c r="I15" s="527">
        <f t="shared" si="1"/>
        <v>1.2079800000000001</v>
      </c>
      <c r="J15" s="427">
        <f t="shared" si="2"/>
        <v>0.25</v>
      </c>
      <c r="K15" s="527">
        <f t="shared" si="3"/>
        <v>1.4211529411764707</v>
      </c>
      <c r="L15" s="427">
        <f t="shared" si="4"/>
        <v>2.8538812785388126E-2</v>
      </c>
      <c r="M15" s="527">
        <f t="shared" si="4"/>
        <v>0.16223207091055603</v>
      </c>
      <c r="N15" s="419">
        <f t="shared" si="5"/>
        <v>0.19077088369594414</v>
      </c>
      <c r="O15" s="556"/>
    </row>
    <row r="16" spans="1:16">
      <c r="A16" s="227" t="s">
        <v>566</v>
      </c>
      <c r="B16" s="227" t="s">
        <v>567</v>
      </c>
      <c r="C16" s="228">
        <v>0.9</v>
      </c>
      <c r="D16" s="229">
        <v>40</v>
      </c>
      <c r="E16" s="230">
        <f>36000/5600</f>
        <v>6.4285714285714288</v>
      </c>
      <c r="F16" s="464">
        <f>10000/5600</f>
        <v>1.7857142857142858</v>
      </c>
      <c r="G16" s="230">
        <v>0</v>
      </c>
      <c r="H16" s="412">
        <f t="shared" si="0"/>
        <v>0.16071428571428573</v>
      </c>
      <c r="I16" s="528">
        <f t="shared" si="1"/>
        <v>1.7857142857142858</v>
      </c>
      <c r="J16" s="428">
        <f t="shared" si="2"/>
        <v>0.17857142857142858</v>
      </c>
      <c r="K16" s="528">
        <f t="shared" si="3"/>
        <v>1.9841269841269842</v>
      </c>
      <c r="L16" s="428">
        <f t="shared" si="4"/>
        <v>2.0384866275277233E-2</v>
      </c>
      <c r="M16" s="528">
        <f t="shared" si="4"/>
        <v>0.22649851416974706</v>
      </c>
      <c r="N16" s="421">
        <f t="shared" si="5"/>
        <v>0.24688338044502428</v>
      </c>
      <c r="O16" s="557">
        <f>AVERAGE(N16:N18)</f>
        <v>0.24750247638375492</v>
      </c>
    </row>
    <row r="17" spans="1:15">
      <c r="A17" s="217" t="s">
        <v>568</v>
      </c>
      <c r="B17" s="217" t="s">
        <v>312</v>
      </c>
      <c r="C17" s="218">
        <v>0.9</v>
      </c>
      <c r="D17" s="219">
        <v>40</v>
      </c>
      <c r="E17" s="216">
        <v>17.5</v>
      </c>
      <c r="F17" s="526">
        <v>1.7</v>
      </c>
      <c r="G17" s="216">
        <v>0</v>
      </c>
      <c r="H17" s="525">
        <f>E17/D17</f>
        <v>0.4375</v>
      </c>
      <c r="I17" s="529">
        <f>F17+G17*8760/1000*C17</f>
        <v>1.7</v>
      </c>
      <c r="J17" s="429">
        <f>H17/C17</f>
        <v>0.4861111111111111</v>
      </c>
      <c r="K17" s="529">
        <f>I17/C17</f>
        <v>1.8888888888888888</v>
      </c>
      <c r="L17" s="429">
        <f t="shared" si="4"/>
        <v>5.5492135971588023E-2</v>
      </c>
      <c r="M17" s="529">
        <f t="shared" si="4"/>
        <v>0.21562658548959918</v>
      </c>
      <c r="N17" s="420">
        <f>SUM(L17:M17)</f>
        <v>0.27111872146118721</v>
      </c>
      <c r="O17" s="558"/>
    </row>
    <row r="18" spans="1:15" ht="13" thickBot="1">
      <c r="A18" s="451" t="s">
        <v>569</v>
      </c>
      <c r="B18" s="451" t="s">
        <v>563</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56"/>
    </row>
    <row r="19" spans="1:15">
      <c r="A19" s="227" t="s">
        <v>570</v>
      </c>
      <c r="B19" s="227" t="s">
        <v>312</v>
      </c>
      <c r="C19" s="228">
        <v>0.85</v>
      </c>
      <c r="D19" s="229">
        <v>40</v>
      </c>
      <c r="E19" s="230">
        <v>21.3</v>
      </c>
      <c r="F19" s="464">
        <v>7.8</v>
      </c>
      <c r="G19" s="230">
        <v>0</v>
      </c>
      <c r="H19" s="412">
        <f>E19/D19</f>
        <v>0.53249999999999997</v>
      </c>
      <c r="I19" s="528">
        <f>F19+G19*8760/1000*C19</f>
        <v>7.8</v>
      </c>
      <c r="J19" s="428">
        <f>H19/C19</f>
        <v>0.62647058823529411</v>
      </c>
      <c r="K19" s="528">
        <f>I19/C19</f>
        <v>9.1764705882352935</v>
      </c>
      <c r="L19" s="428">
        <f t="shared" si="4"/>
        <v>7.1514907332796127E-2</v>
      </c>
      <c r="M19" s="528">
        <f t="shared" si="4"/>
        <v>1.0475423045930701</v>
      </c>
      <c r="N19" s="421">
        <f>SUM(L19:M19)</f>
        <v>1.1190572119258662</v>
      </c>
      <c r="O19" s="557">
        <f>AVERAGE(N19:N20)</f>
        <v>0.71885911899006172</v>
      </c>
    </row>
    <row r="20" spans="1:15" ht="13" thickBot="1">
      <c r="A20" s="451" t="s">
        <v>571</v>
      </c>
      <c r="B20" s="451" t="s">
        <v>563</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56"/>
    </row>
    <row r="21" spans="1:15" ht="13" thickBot="1">
      <c r="A21" s="231" t="s">
        <v>572</v>
      </c>
      <c r="B21" s="231" t="s">
        <v>563</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573</v>
      </c>
      <c r="C22" s="237">
        <v>0.2</v>
      </c>
      <c r="D22" s="238">
        <v>25</v>
      </c>
      <c r="E22" s="239">
        <v>37</v>
      </c>
      <c r="F22" s="468">
        <v>1</v>
      </c>
      <c r="G22" s="239">
        <v>0</v>
      </c>
      <c r="H22" s="424">
        <f>E22/D22</f>
        <v>1.48</v>
      </c>
      <c r="I22" s="530">
        <f>F22+G22*8760/1000*C22</f>
        <v>1</v>
      </c>
      <c r="J22" s="431">
        <f>H22/C22</f>
        <v>7.3999999999999995</v>
      </c>
      <c r="K22" s="530">
        <f>I22/C22</f>
        <v>5</v>
      </c>
      <c r="L22" s="431">
        <f>J22/8760*1000</f>
        <v>0.84474885844748848</v>
      </c>
      <c r="M22" s="530">
        <f>K22/8760*1000</f>
        <v>0.57077625570776247</v>
      </c>
      <c r="N22" s="426">
        <f>SUM(L22:M22)</f>
        <v>1.415525114155251</v>
      </c>
      <c r="O22" s="562">
        <f>N39</f>
        <v>0.79313246811604099</v>
      </c>
    </row>
    <row r="23" spans="1:15">
      <c r="A23" s="455" t="s">
        <v>310</v>
      </c>
      <c r="B23" s="455" t="s">
        <v>221</v>
      </c>
      <c r="C23" s="456">
        <v>0.2</v>
      </c>
      <c r="D23" s="457">
        <v>25</v>
      </c>
      <c r="E23" s="458">
        <v>32.340000000000003</v>
      </c>
      <c r="F23" s="467">
        <v>0.37</v>
      </c>
      <c r="G23" s="458">
        <v>0</v>
      </c>
      <c r="H23" s="459">
        <f t="shared" si="0"/>
        <v>1.2936000000000001</v>
      </c>
      <c r="I23" s="524">
        <f t="shared" si="1"/>
        <v>0.37</v>
      </c>
      <c r="J23" s="460">
        <f t="shared" si="2"/>
        <v>6.468</v>
      </c>
      <c r="K23" s="524">
        <f t="shared" si="3"/>
        <v>1.8499999999999999</v>
      </c>
      <c r="L23" s="460">
        <f t="shared" si="4"/>
        <v>0.73835616438356166</v>
      </c>
      <c r="M23" s="524">
        <f t="shared" si="4"/>
        <v>0.21118721461187212</v>
      </c>
      <c r="N23" s="461">
        <f t="shared" si="5"/>
        <v>0.94954337899543373</v>
      </c>
      <c r="O23" s="563"/>
    </row>
    <row r="24" spans="1:15" ht="13" thickBot="1">
      <c r="A24" s="451" t="s">
        <v>311</v>
      </c>
      <c r="B24" s="451" t="s">
        <v>563</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64"/>
    </row>
    <row r="25" spans="1:15">
      <c r="A25" s="227" t="s">
        <v>434</v>
      </c>
      <c r="B25" s="227" t="s">
        <v>438</v>
      </c>
      <c r="C25" s="240">
        <v>0.4</v>
      </c>
      <c r="D25" s="229">
        <v>25</v>
      </c>
      <c r="E25" s="230">
        <f>10310/1000</f>
        <v>10.31</v>
      </c>
      <c r="F25" s="464">
        <v>1</v>
      </c>
      <c r="G25" s="230">
        <v>0</v>
      </c>
      <c r="H25" s="424">
        <f t="shared" si="0"/>
        <v>0.41240000000000004</v>
      </c>
      <c r="I25" s="530">
        <f t="shared" si="1"/>
        <v>1</v>
      </c>
      <c r="J25" s="431">
        <f t="shared" si="2"/>
        <v>1.0310000000000001</v>
      </c>
      <c r="K25" s="530">
        <f t="shared" si="3"/>
        <v>2.5</v>
      </c>
      <c r="L25" s="431">
        <f t="shared" si="4"/>
        <v>0.11769406392694066</v>
      </c>
      <c r="M25" s="530">
        <f t="shared" si="4"/>
        <v>0.28538812785388123</v>
      </c>
      <c r="N25" s="426">
        <f t="shared" si="5"/>
        <v>0.40308219178082189</v>
      </c>
      <c r="O25" s="557">
        <f>AVERAGE(N25:N26,N27)</f>
        <v>0.23028919330289191</v>
      </c>
    </row>
    <row r="26" spans="1:15">
      <c r="A26" s="214" t="s">
        <v>435</v>
      </c>
      <c r="B26" s="214" t="s">
        <v>437</v>
      </c>
      <c r="C26" s="220">
        <v>0.4</v>
      </c>
      <c r="D26" s="215">
        <v>25</v>
      </c>
      <c r="E26" s="216">
        <v>4.5</v>
      </c>
      <c r="F26" s="526">
        <v>0.38</v>
      </c>
      <c r="G26" s="529">
        <v>0</v>
      </c>
      <c r="H26" s="415">
        <f t="shared" si="0"/>
        <v>0.18</v>
      </c>
      <c r="I26" s="529">
        <f t="shared" si="1"/>
        <v>0.38</v>
      </c>
      <c r="J26" s="429">
        <f t="shared" si="2"/>
        <v>0.44999999999999996</v>
      </c>
      <c r="K26" s="529">
        <f t="shared" si="3"/>
        <v>0.95</v>
      </c>
      <c r="L26" s="429">
        <f t="shared" si="4"/>
        <v>5.1369863013698627E-2</v>
      </c>
      <c r="M26" s="529">
        <f t="shared" si="4"/>
        <v>0.10844748858447488</v>
      </c>
      <c r="N26" s="420">
        <f t="shared" si="5"/>
        <v>0.15981735159817351</v>
      </c>
      <c r="O26" s="558"/>
    </row>
    <row r="27" spans="1:15" ht="13" thickBot="1">
      <c r="A27" s="436" t="s">
        <v>436</v>
      </c>
      <c r="B27" s="436" t="s">
        <v>563</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56"/>
    </row>
    <row r="28" spans="1:15">
      <c r="A28" s="241" t="s">
        <v>574</v>
      </c>
      <c r="B28" s="241" t="s">
        <v>362</v>
      </c>
      <c r="C28" s="240">
        <v>0.35</v>
      </c>
      <c r="D28" s="229">
        <v>25</v>
      </c>
      <c r="E28" s="230">
        <v>10.1</v>
      </c>
      <c r="F28" s="464">
        <v>0.4</v>
      </c>
      <c r="G28" s="528">
        <v>0</v>
      </c>
      <c r="H28" s="425">
        <f t="shared" si="0"/>
        <v>0.40399999999999997</v>
      </c>
      <c r="I28" s="528">
        <f t="shared" si="1"/>
        <v>0.4</v>
      </c>
      <c r="J28" s="428">
        <f t="shared" si="2"/>
        <v>1.1542857142857144</v>
      </c>
      <c r="K28" s="528">
        <f t="shared" si="3"/>
        <v>1.142857142857143</v>
      </c>
      <c r="L28" s="428">
        <f t="shared" si="4"/>
        <v>0.13176777560339206</v>
      </c>
      <c r="M28" s="528">
        <f t="shared" si="4"/>
        <v>0.13046314416177432</v>
      </c>
      <c r="N28" s="421">
        <f t="shared" si="5"/>
        <v>0.26223091976516638</v>
      </c>
      <c r="O28" s="557">
        <f>AVERAGE(N28,N29,N30:N32)</f>
        <v>0.16974559686888452</v>
      </c>
    </row>
    <row r="29" spans="1:15">
      <c r="A29" s="214" t="s">
        <v>220</v>
      </c>
      <c r="B29" s="214" t="s">
        <v>221</v>
      </c>
      <c r="C29" s="220">
        <v>0.35</v>
      </c>
      <c r="D29" s="219">
        <v>25</v>
      </c>
      <c r="E29" s="216">
        <v>3.8</v>
      </c>
      <c r="F29" s="526">
        <v>0.14399999999999999</v>
      </c>
      <c r="G29" s="529">
        <v>0</v>
      </c>
      <c r="H29" s="415">
        <f t="shared" si="0"/>
        <v>0.152</v>
      </c>
      <c r="I29" s="529">
        <f t="shared" si="1"/>
        <v>0.14399999999999999</v>
      </c>
      <c r="J29" s="429">
        <f t="shared" si="2"/>
        <v>0.43428571428571427</v>
      </c>
      <c r="K29" s="529">
        <f t="shared" si="3"/>
        <v>0.41142857142857142</v>
      </c>
      <c r="L29" s="429">
        <f t="shared" si="4"/>
        <v>4.9575994781474238E-2</v>
      </c>
      <c r="M29" s="529">
        <f t="shared" si="4"/>
        <v>4.6966731898238752E-2</v>
      </c>
      <c r="N29" s="420">
        <f t="shared" si="5"/>
        <v>9.654272667971299E-2</v>
      </c>
      <c r="O29" s="558"/>
    </row>
    <row r="30" spans="1:15">
      <c r="A30" s="214" t="s">
        <v>361</v>
      </c>
      <c r="B30" s="214" t="s">
        <v>575</v>
      </c>
      <c r="C30" s="220">
        <v>0.35</v>
      </c>
      <c r="D30" s="215">
        <v>25</v>
      </c>
      <c r="E30" s="529">
        <v>10.96</v>
      </c>
      <c r="F30" s="429">
        <v>0.17499999999999999</v>
      </c>
      <c r="G30" s="529">
        <v>0</v>
      </c>
      <c r="H30" s="415">
        <f t="shared" si="0"/>
        <v>0.43840000000000001</v>
      </c>
      <c r="I30" s="529">
        <f t="shared" si="1"/>
        <v>0.17499999999999999</v>
      </c>
      <c r="J30" s="429">
        <f t="shared" si="2"/>
        <v>1.2525714285714287</v>
      </c>
      <c r="K30" s="529">
        <f t="shared" si="3"/>
        <v>0.5</v>
      </c>
      <c r="L30" s="429">
        <f t="shared" si="4"/>
        <v>0.14298760600130464</v>
      </c>
      <c r="M30" s="529">
        <f t="shared" si="4"/>
        <v>5.7077625570776253E-2</v>
      </c>
      <c r="N30" s="420">
        <f t="shared" si="5"/>
        <v>0.20006523157208089</v>
      </c>
      <c r="O30" s="558"/>
    </row>
    <row r="31" spans="1:15">
      <c r="A31" s="214" t="s">
        <v>576</v>
      </c>
      <c r="B31" s="214" t="s">
        <v>312</v>
      </c>
      <c r="C31" s="220">
        <v>0.35</v>
      </c>
      <c r="D31" s="215">
        <v>25</v>
      </c>
      <c r="E31" s="529">
        <v>7.4</v>
      </c>
      <c r="F31" s="429">
        <v>0.2</v>
      </c>
      <c r="G31" s="529">
        <v>0</v>
      </c>
      <c r="H31" s="415">
        <f t="shared" si="0"/>
        <v>0.29600000000000004</v>
      </c>
      <c r="I31" s="529">
        <f t="shared" si="1"/>
        <v>0.2</v>
      </c>
      <c r="J31" s="429">
        <f t="shared" si="2"/>
        <v>0.84571428571428586</v>
      </c>
      <c r="K31" s="529">
        <f t="shared" si="3"/>
        <v>0.57142857142857151</v>
      </c>
      <c r="L31" s="429">
        <f t="shared" si="4"/>
        <v>9.6542726679713003E-2</v>
      </c>
      <c r="M31" s="529">
        <f t="shared" si="4"/>
        <v>6.523157208088716E-2</v>
      </c>
      <c r="N31" s="420">
        <f t="shared" si="5"/>
        <v>0.16177429876060018</v>
      </c>
      <c r="O31" s="558"/>
    </row>
    <row r="32" spans="1:15" ht="13" thickBot="1">
      <c r="A32" s="436" t="s">
        <v>577</v>
      </c>
      <c r="B32" s="436" t="s">
        <v>563</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56"/>
    </row>
    <row r="33" spans="1:15" ht="23" thickBot="1">
      <c r="A33" s="231" t="s">
        <v>431</v>
      </c>
      <c r="B33" s="231" t="s">
        <v>432</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433</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427</v>
      </c>
      <c r="B37" s="213" t="s">
        <v>429</v>
      </c>
      <c r="C37" s="245">
        <v>1</v>
      </c>
      <c r="D37" s="222">
        <v>20</v>
      </c>
      <c r="E37" s="547" t="s">
        <v>0</v>
      </c>
      <c r="F37" s="548"/>
      <c r="G37" s="548"/>
      <c r="H37" s="548"/>
      <c r="I37" s="548"/>
      <c r="J37" s="548"/>
      <c r="K37" s="548"/>
      <c r="L37" s="548"/>
      <c r="M37" s="549"/>
      <c r="N37" s="418">
        <v>0.17</v>
      </c>
      <c r="O37" s="550">
        <f>AVERAGE(N37,N38)</f>
        <v>0.38</v>
      </c>
    </row>
    <row r="38" spans="1:15">
      <c r="A38" s="214" t="s">
        <v>428</v>
      </c>
      <c r="B38" s="214" t="s">
        <v>430</v>
      </c>
      <c r="C38" s="221">
        <v>1</v>
      </c>
      <c r="D38" s="215">
        <v>20</v>
      </c>
      <c r="E38" s="552" t="s">
        <v>0</v>
      </c>
      <c r="F38" s="553"/>
      <c r="G38" s="553"/>
      <c r="H38" s="553"/>
      <c r="I38" s="553"/>
      <c r="J38" s="553"/>
      <c r="K38" s="553"/>
      <c r="L38" s="553"/>
      <c r="M38" s="554"/>
      <c r="N38" s="420">
        <v>0.59</v>
      </c>
      <c r="O38" s="551"/>
    </row>
    <row r="39" spans="1:15">
      <c r="A39" s="81" t="s">
        <v>760</v>
      </c>
      <c r="B39" s="81" t="s">
        <v>761</v>
      </c>
      <c r="C39" s="565">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66"/>
    </row>
  </sheetData>
  <mergeCells count="19">
    <mergeCell ref="E37:M37"/>
    <mergeCell ref="O37:O38"/>
    <mergeCell ref="E38:M38"/>
    <mergeCell ref="O14:O15"/>
    <mergeCell ref="O16:O18"/>
    <mergeCell ref="O19:O20"/>
    <mergeCell ref="O22:O24"/>
    <mergeCell ref="O25:O27"/>
    <mergeCell ref="O28:O32"/>
    <mergeCell ref="A1:P10"/>
    <mergeCell ref="A11:A12"/>
    <mergeCell ref="B11:B12"/>
    <mergeCell ref="C11:C13"/>
    <mergeCell ref="D11:D13"/>
    <mergeCell ref="E11:G12"/>
    <mergeCell ref="H11:O11"/>
    <mergeCell ref="H12:I12"/>
    <mergeCell ref="J12:K12"/>
    <mergeCell ref="L12:O1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59"/>
      <c r="C1" s="559"/>
      <c r="D1" s="559"/>
      <c r="E1" s="559"/>
      <c r="F1" s="559"/>
      <c r="G1" s="559"/>
      <c r="H1" s="559"/>
      <c r="I1" s="559"/>
      <c r="J1" s="559"/>
      <c r="K1" s="559"/>
      <c r="L1" s="559"/>
    </row>
    <row r="2" spans="1:12">
      <c r="B2" s="559"/>
      <c r="C2" s="559"/>
      <c r="D2" s="559"/>
      <c r="E2" s="559"/>
      <c r="F2" s="559"/>
      <c r="G2" s="559"/>
      <c r="H2" s="559"/>
      <c r="I2" s="559"/>
      <c r="J2" s="559"/>
      <c r="K2" s="559"/>
      <c r="L2" s="559"/>
    </row>
    <row r="3" spans="1:12">
      <c r="B3" s="559"/>
      <c r="C3" s="559"/>
      <c r="D3" s="559"/>
      <c r="E3" s="559"/>
      <c r="F3" s="559"/>
      <c r="G3" s="559"/>
      <c r="H3" s="559"/>
      <c r="I3" s="559"/>
      <c r="J3" s="559"/>
      <c r="K3" s="559"/>
      <c r="L3" s="559"/>
    </row>
    <row r="4" spans="1:12">
      <c r="B4" s="559"/>
      <c r="C4" s="559"/>
      <c r="D4" s="559"/>
      <c r="E4" s="559"/>
      <c r="F4" s="559"/>
      <c r="G4" s="559"/>
      <c r="H4" s="559"/>
      <c r="I4" s="559"/>
      <c r="J4" s="559"/>
      <c r="K4" s="559"/>
      <c r="L4" s="559"/>
    </row>
    <row r="5" spans="1:12">
      <c r="B5" s="559"/>
      <c r="C5" s="559"/>
      <c r="D5" s="559"/>
      <c r="E5" s="559"/>
      <c r="F5" s="559"/>
      <c r="G5" s="559"/>
      <c r="H5" s="559"/>
      <c r="I5" s="559"/>
      <c r="J5" s="559"/>
      <c r="K5" s="559"/>
      <c r="L5" s="559"/>
    </row>
    <row r="6" spans="1:12">
      <c r="B6" s="559"/>
      <c r="C6" s="559"/>
      <c r="D6" s="559"/>
      <c r="E6" s="559"/>
      <c r="F6" s="559"/>
      <c r="G6" s="559"/>
      <c r="H6" s="559"/>
      <c r="I6" s="559"/>
      <c r="J6" s="559"/>
      <c r="K6" s="559"/>
      <c r="L6" s="559"/>
    </row>
    <row r="7" spans="1:12">
      <c r="B7" s="559"/>
      <c r="C7" s="559"/>
      <c r="D7" s="559"/>
      <c r="E7" s="559"/>
      <c r="F7" s="559"/>
      <c r="G7" s="559"/>
      <c r="H7" s="559"/>
      <c r="I7" s="559"/>
      <c r="J7" s="559"/>
      <c r="K7" s="559"/>
      <c r="L7" s="559"/>
    </row>
    <row r="8" spans="1:12">
      <c r="B8" s="559"/>
      <c r="C8" s="559"/>
      <c r="D8" s="559"/>
      <c r="E8" s="559"/>
      <c r="F8" s="559"/>
      <c r="G8" s="559"/>
      <c r="H8" s="559"/>
      <c r="I8" s="559"/>
      <c r="J8" s="559"/>
      <c r="K8" s="559"/>
      <c r="L8" s="559"/>
    </row>
    <row r="9" spans="1:12" ht="48" customHeight="1">
      <c r="B9" s="559"/>
      <c r="C9" s="559"/>
      <c r="D9" s="559"/>
      <c r="E9" s="559"/>
      <c r="F9" s="559"/>
      <c r="G9" s="559"/>
      <c r="H9" s="559"/>
      <c r="I9" s="559"/>
      <c r="J9" s="559"/>
      <c r="K9" s="559"/>
      <c r="L9" s="559"/>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6" zoomScale="125" zoomScaleNormal="125" zoomScalePageLayoutView="125" workbookViewId="0">
      <pane xSplit="1" topLeftCell="B1" activePane="topRight" state="frozen"/>
      <selection activeCell="A33" sqref="A33"/>
      <selection pane="topRight" activeCell="G58" sqref="G58"/>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705</v>
      </c>
    </row>
    <row r="3" spans="1:37">
      <c r="A3" s="272" t="s">
        <v>657</v>
      </c>
    </row>
    <row r="4" spans="1:37">
      <c r="A4" s="272" t="s">
        <v>592</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582</v>
      </c>
      <c r="AB11" s="319" t="s">
        <v>583</v>
      </c>
      <c r="AC11" s="319" t="s">
        <v>584</v>
      </c>
      <c r="AD11" s="319" t="s">
        <v>585</v>
      </c>
      <c r="AE11" s="319" t="s">
        <v>586</v>
      </c>
      <c r="AF11" s="319" t="s">
        <v>587</v>
      </c>
      <c r="AG11" s="319" t="s">
        <v>588</v>
      </c>
      <c r="AH11" s="319" t="s">
        <v>589</v>
      </c>
      <c r="AI11" s="319" t="s">
        <v>590</v>
      </c>
      <c r="AJ11" s="319" t="s">
        <v>591</v>
      </c>
      <c r="AK11" s="319" t="s">
        <v>594</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758</v>
      </c>
    </row>
    <row r="35" spans="1:44" s="251" customFormat="1">
      <c r="A35" s="250" t="s">
        <v>745</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720</v>
      </c>
      <c r="G36" s="499">
        <v>141.45000200000001</v>
      </c>
      <c r="H36" s="499">
        <v>131.668001</v>
      </c>
      <c r="I36" s="499">
        <v>136.13143299999999</v>
      </c>
      <c r="J36" s="499">
        <v>135.50558899999999</v>
      </c>
      <c r="K36" s="499">
        <v>139.08894699999999</v>
      </c>
      <c r="L36" s="499">
        <v>129.973342</v>
      </c>
      <c r="M36" s="499">
        <v>127.687927</v>
      </c>
      <c r="N36" s="499">
        <v>130.53686400000001</v>
      </c>
      <c r="O36" s="499">
        <v>131.771399</v>
      </c>
      <c r="P36" s="499">
        <v>132.59962300000001</v>
      </c>
      <c r="Q36" s="499">
        <v>132.94786400000001</v>
      </c>
      <c r="R36" s="499">
        <v>133.311127</v>
      </c>
      <c r="S36" s="499">
        <v>134.07942199999999</v>
      </c>
      <c r="T36" s="499">
        <v>134.68943999999999</v>
      </c>
      <c r="U36" s="499">
        <v>135.03948200000002</v>
      </c>
      <c r="V36" s="499">
        <v>135.09406899999999</v>
      </c>
      <c r="W36" s="499">
        <v>134.889872</v>
      </c>
      <c r="X36" s="499">
        <v>134.63291900000002</v>
      </c>
      <c r="Y36" s="499">
        <v>134.708077</v>
      </c>
      <c r="Z36" s="499">
        <v>134.74132499999999</v>
      </c>
      <c r="AA36" s="499">
        <v>134.71441299999998</v>
      </c>
      <c r="AB36" s="499">
        <v>134.60071099999999</v>
      </c>
      <c r="AC36" s="499">
        <v>134.53027</v>
      </c>
      <c r="AD36" s="499">
        <v>134.40207100000001</v>
      </c>
      <c r="AE36" s="499">
        <v>134.31431599999999</v>
      </c>
      <c r="AF36" s="499">
        <v>134.20071300000001</v>
      </c>
      <c r="AG36" s="499">
        <v>134.08396500000001</v>
      </c>
      <c r="AH36" s="499">
        <v>133.96165500000001</v>
      </c>
      <c r="AI36" s="499">
        <v>133.85592700000001</v>
      </c>
      <c r="AJ36" s="499">
        <v>133.757946</v>
      </c>
      <c r="AK36" s="503">
        <v>0.03</v>
      </c>
      <c r="AL36" s="515" t="s">
        <v>68</v>
      </c>
      <c r="AM36" s="518">
        <v>0.3</v>
      </c>
    </row>
    <row r="37" spans="1:44" s="251" customFormat="1">
      <c r="A37" s="501" t="s">
        <v>721</v>
      </c>
      <c r="G37" s="499">
        <v>0.61799999999999999</v>
      </c>
      <c r="H37" s="499">
        <v>0.276416</v>
      </c>
      <c r="I37" s="499">
        <v>0.54599399999999998</v>
      </c>
      <c r="J37" s="499">
        <v>0.54430699999999999</v>
      </c>
      <c r="K37" s="499">
        <v>0.55884</v>
      </c>
      <c r="L37" s="499">
        <v>0.524308</v>
      </c>
      <c r="M37" s="499">
        <v>0.51505999999999996</v>
      </c>
      <c r="N37" s="499">
        <v>0.52851999999999999</v>
      </c>
      <c r="O37" s="499">
        <v>0.53401399999999999</v>
      </c>
      <c r="P37" s="499">
        <v>0.54058799999999996</v>
      </c>
      <c r="Q37" s="499">
        <v>0.54065799999999997</v>
      </c>
      <c r="R37" s="499">
        <v>0.54078399999999993</v>
      </c>
      <c r="S37" s="499">
        <v>0.54392799999999997</v>
      </c>
      <c r="T37" s="499">
        <v>0.54686999999999997</v>
      </c>
      <c r="U37" s="499">
        <v>0.54838900000000002</v>
      </c>
      <c r="V37" s="499">
        <v>0.54842799999999992</v>
      </c>
      <c r="W37" s="499">
        <v>0.54787399999999997</v>
      </c>
      <c r="X37" s="499">
        <v>0.54687800000000009</v>
      </c>
      <c r="Y37" s="499">
        <v>0.54734300000000002</v>
      </c>
      <c r="Z37" s="499">
        <v>0.54786000000000001</v>
      </c>
      <c r="AA37" s="499">
        <v>0.54776400000000003</v>
      </c>
      <c r="AB37" s="499">
        <v>0.54759499999999994</v>
      </c>
      <c r="AC37" s="499">
        <v>0.54726200000000003</v>
      </c>
      <c r="AD37" s="499">
        <v>0.54694799999999999</v>
      </c>
      <c r="AE37" s="499">
        <v>0.54671900000000007</v>
      </c>
      <c r="AF37" s="499">
        <v>0.54613500000000004</v>
      </c>
      <c r="AG37" s="499">
        <v>0.5457010000000001</v>
      </c>
      <c r="AH37" s="499">
        <v>0.54547499999999993</v>
      </c>
      <c r="AI37" s="499">
        <v>0.54495700000000002</v>
      </c>
      <c r="AJ37" s="499">
        <v>0.54299499999999989</v>
      </c>
      <c r="AK37" s="503">
        <v>-3.7999999999999999E-2</v>
      </c>
      <c r="AL37" s="516" t="s">
        <v>69</v>
      </c>
      <c r="AM37" s="518">
        <v>0.64315352789417468</v>
      </c>
    </row>
    <row r="38" spans="1:44" s="251" customFormat="1">
      <c r="A38" s="501" t="s">
        <v>722</v>
      </c>
      <c r="G38" s="499">
        <v>6.2477089999999995</v>
      </c>
      <c r="H38" s="499">
        <v>11.935669000000001</v>
      </c>
      <c r="I38" s="499">
        <v>3.7434159999999999</v>
      </c>
      <c r="J38" s="499">
        <v>5.7425550000000003</v>
      </c>
      <c r="K38" s="499">
        <v>5.442418</v>
      </c>
      <c r="L38" s="499">
        <v>14.115572999999999</v>
      </c>
      <c r="M38" s="499">
        <v>16.16752</v>
      </c>
      <c r="N38" s="499">
        <v>19.163057000000002</v>
      </c>
      <c r="O38" s="499">
        <v>20.689990000000002</v>
      </c>
      <c r="P38" s="499">
        <v>24.387097000000001</v>
      </c>
      <c r="Q38" s="499">
        <v>25.511628000000002</v>
      </c>
      <c r="R38" s="499">
        <v>25.932189000000001</v>
      </c>
      <c r="S38" s="499">
        <v>27.652376</v>
      </c>
      <c r="T38" s="499">
        <v>28.375037999999996</v>
      </c>
      <c r="U38" s="499">
        <v>28.711283999999999</v>
      </c>
      <c r="V38" s="499">
        <v>30.415917999999998</v>
      </c>
      <c r="W38" s="499">
        <v>31.926251999999998</v>
      </c>
      <c r="X38" s="499">
        <v>32.542359000000005</v>
      </c>
      <c r="Y38" s="499">
        <v>33.934286999999998</v>
      </c>
      <c r="Z38" s="499">
        <v>35.019849000000001</v>
      </c>
      <c r="AA38" s="499">
        <v>35.439497000000003</v>
      </c>
      <c r="AB38" s="499">
        <v>35.873134</v>
      </c>
      <c r="AC38" s="499">
        <v>36.199567999999999</v>
      </c>
      <c r="AD38" s="499">
        <v>35.409165999999999</v>
      </c>
      <c r="AE38" s="499">
        <v>36.135394000000005</v>
      </c>
      <c r="AF38" s="499">
        <v>35.925024999999998</v>
      </c>
      <c r="AG38" s="499">
        <v>36.058050000000001</v>
      </c>
      <c r="AH38" s="499">
        <v>36.559820000000002</v>
      </c>
      <c r="AI38" s="499">
        <v>38.624087000000003</v>
      </c>
      <c r="AJ38" s="499">
        <v>39.920868999999996</v>
      </c>
      <c r="AK38" s="503">
        <v>-4.0000000000000001E-3</v>
      </c>
      <c r="AL38" s="516" t="s">
        <v>76</v>
      </c>
      <c r="AM38" s="518">
        <v>0.47934037041685373</v>
      </c>
    </row>
    <row r="39" spans="1:44" s="251" customFormat="1">
      <c r="A39" s="501" t="s">
        <v>723</v>
      </c>
      <c r="G39" s="499">
        <v>28.701999999999998</v>
      </c>
      <c r="H39" s="499">
        <v>26.608001000000002</v>
      </c>
      <c r="I39" s="499">
        <v>25.251725</v>
      </c>
      <c r="J39" s="499">
        <v>25.204146999999999</v>
      </c>
      <c r="K39" s="499">
        <v>26.000242</v>
      </c>
      <c r="L39" s="499">
        <v>22.438203999999999</v>
      </c>
      <c r="M39" s="499">
        <v>24.653748</v>
      </c>
      <c r="N39" s="499">
        <v>16.271992000000001</v>
      </c>
      <c r="O39" s="499">
        <v>16.271992000000001</v>
      </c>
      <c r="P39" s="499">
        <v>7.8926730000000003</v>
      </c>
      <c r="Q39" s="499">
        <v>7.8926730000000003</v>
      </c>
      <c r="R39" s="499">
        <v>7.8926730000000003</v>
      </c>
      <c r="S39" s="499">
        <v>7.8926730000000003</v>
      </c>
      <c r="T39" s="499">
        <v>7.8926730000000003</v>
      </c>
      <c r="U39" s="499">
        <v>7.8926730000000003</v>
      </c>
      <c r="V39" s="499">
        <v>7.8926730000000003</v>
      </c>
      <c r="W39" s="499">
        <v>7.8926730000000003</v>
      </c>
      <c r="X39" s="499">
        <v>7.8926730000000003</v>
      </c>
      <c r="Y39" s="499">
        <v>7.8926730000000003</v>
      </c>
      <c r="Z39" s="499">
        <v>7.8926730000000003</v>
      </c>
      <c r="AA39" s="499">
        <v>7.8926730000000003</v>
      </c>
      <c r="AB39" s="499">
        <v>7.8926730000000003</v>
      </c>
      <c r="AC39" s="499">
        <v>7.8926730000000003</v>
      </c>
      <c r="AD39" s="499">
        <v>7.8926730000000003</v>
      </c>
      <c r="AE39" s="499">
        <v>7.8926730000000003</v>
      </c>
      <c r="AF39" s="499">
        <v>7.8926730000000003</v>
      </c>
      <c r="AG39" s="499">
        <v>7.8926730000000003</v>
      </c>
      <c r="AH39" s="499">
        <v>7.8926730000000003</v>
      </c>
      <c r="AI39" s="499">
        <v>7.8926730000000003</v>
      </c>
      <c r="AJ39" s="499">
        <v>7.8926730000000003</v>
      </c>
      <c r="AK39" s="503">
        <v>-5.0000000000000001E-3</v>
      </c>
      <c r="AL39" s="516" t="s">
        <v>742</v>
      </c>
      <c r="AM39" s="518">
        <v>0</v>
      </c>
    </row>
    <row r="40" spans="1:44" s="251" customFormat="1">
      <c r="A40" s="501" t="s">
        <v>724</v>
      </c>
      <c r="G40" s="499">
        <v>0.32730000000000004</v>
      </c>
      <c r="H40" s="499">
        <v>0.32730000000000004</v>
      </c>
      <c r="I40" s="499">
        <v>0.32730000000000004</v>
      </c>
      <c r="J40" s="499">
        <v>0.32730000000000004</v>
      </c>
      <c r="K40" s="499">
        <v>0.32730000000000004</v>
      </c>
      <c r="L40" s="499">
        <v>0.32730000000000004</v>
      </c>
      <c r="M40" s="499">
        <v>0.32730000000000004</v>
      </c>
      <c r="N40" s="499">
        <v>0.32730000000000004</v>
      </c>
      <c r="O40" s="499">
        <v>0.32936300000000002</v>
      </c>
      <c r="P40" s="499">
        <v>0.33053400000000005</v>
      </c>
      <c r="Q40" s="499">
        <v>0.33395200000000003</v>
      </c>
      <c r="R40" s="499">
        <v>0.33422199999999996</v>
      </c>
      <c r="S40" s="499">
        <v>0.33422199999999996</v>
      </c>
      <c r="T40" s="499">
        <v>0.33422199999999996</v>
      </c>
      <c r="U40" s="499">
        <v>0.33468500000000001</v>
      </c>
      <c r="V40" s="499">
        <v>0.33486299999999997</v>
      </c>
      <c r="W40" s="499">
        <v>0.33495999999999998</v>
      </c>
      <c r="X40" s="499">
        <v>0.33513699999999996</v>
      </c>
      <c r="Y40" s="499">
        <v>0.33533599999999997</v>
      </c>
      <c r="Z40" s="499">
        <v>0.33541799999999999</v>
      </c>
      <c r="AA40" s="499">
        <v>0.33560699999999999</v>
      </c>
      <c r="AB40" s="499">
        <v>0.33570099999999997</v>
      </c>
      <c r="AC40" s="499">
        <v>0.33602300000000002</v>
      </c>
      <c r="AD40" s="499">
        <v>0.336335</v>
      </c>
      <c r="AE40" s="499">
        <v>0.33652799999999999</v>
      </c>
      <c r="AF40" s="499">
        <v>0.336839</v>
      </c>
      <c r="AG40" s="499">
        <v>0.33718100000000001</v>
      </c>
      <c r="AH40" s="499">
        <v>0.337395</v>
      </c>
      <c r="AI40" s="499">
        <v>0.337642</v>
      </c>
      <c r="AJ40" s="499">
        <v>0.33789599999999997</v>
      </c>
      <c r="AK40" s="503">
        <v>1E-3</v>
      </c>
      <c r="AL40" s="517" t="s">
        <v>225</v>
      </c>
      <c r="AM40" s="518">
        <v>0.4</v>
      </c>
    </row>
    <row r="41" spans="1:44" s="251" customFormat="1">
      <c r="A41" s="501" t="s">
        <v>725</v>
      </c>
      <c r="G41" s="499">
        <v>43.981293999999998</v>
      </c>
      <c r="H41" s="499">
        <v>46.995975000000001</v>
      </c>
      <c r="I41" s="499">
        <v>45.707962999999999</v>
      </c>
      <c r="J41" s="499">
        <v>46.684384000000001</v>
      </c>
      <c r="K41" s="499">
        <v>53.611203999999994</v>
      </c>
      <c r="L41" s="499">
        <v>58.208902999999999</v>
      </c>
      <c r="M41" s="499">
        <v>58.449779999999997</v>
      </c>
      <c r="N41" s="499">
        <v>58.603072999999995</v>
      </c>
      <c r="O41" s="499">
        <v>58.653354</v>
      </c>
      <c r="P41" s="499">
        <v>58.770581999999997</v>
      </c>
      <c r="Q41" s="499">
        <v>58.784796</v>
      </c>
      <c r="R41" s="499">
        <v>58.873795000000001</v>
      </c>
      <c r="S41" s="499">
        <v>58.877427999999995</v>
      </c>
      <c r="T41" s="499">
        <v>59.033409999999996</v>
      </c>
      <c r="U41" s="499">
        <v>59.059998</v>
      </c>
      <c r="V41" s="499">
        <v>59.061321999999997</v>
      </c>
      <c r="W41" s="499">
        <v>59.674716000000004</v>
      </c>
      <c r="X41" s="499">
        <v>59.670787000000004</v>
      </c>
      <c r="Y41" s="499">
        <v>59.678868999999999</v>
      </c>
      <c r="Z41" s="499">
        <v>59.770778</v>
      </c>
      <c r="AA41" s="499">
        <v>59.765135000000001</v>
      </c>
      <c r="AB41" s="499">
        <v>59.845776999999998</v>
      </c>
      <c r="AC41" s="499">
        <v>59.886151000000005</v>
      </c>
      <c r="AD41" s="499">
        <v>59.938535999999999</v>
      </c>
      <c r="AE41" s="499">
        <v>59.993364</v>
      </c>
      <c r="AF41" s="499">
        <v>60.007967999999998</v>
      </c>
      <c r="AG41" s="499">
        <v>60.075592</v>
      </c>
      <c r="AH41" s="499">
        <v>60.120117</v>
      </c>
      <c r="AI41" s="499">
        <v>60.205210000000001</v>
      </c>
      <c r="AJ41" s="499">
        <v>60.325286999999996</v>
      </c>
      <c r="AK41" s="503">
        <v>2.1000000000000001E-2</v>
      </c>
      <c r="AL41" s="517" t="s">
        <v>379</v>
      </c>
      <c r="AM41" s="518">
        <v>0.14978298011892283</v>
      </c>
    </row>
    <row r="42" spans="1:44" s="251" customFormat="1">
      <c r="A42" s="501" t="s">
        <v>726</v>
      </c>
      <c r="G42" s="499">
        <v>0</v>
      </c>
      <c r="H42" s="499">
        <v>0</v>
      </c>
      <c r="I42" s="499">
        <v>0</v>
      </c>
      <c r="J42" s="499">
        <v>0</v>
      </c>
      <c r="K42" s="499">
        <v>0</v>
      </c>
      <c r="L42" s="499">
        <v>4.5900000000000003E-3</v>
      </c>
      <c r="M42" s="499">
        <v>9.4039999999999992E-3</v>
      </c>
      <c r="N42" s="499">
        <v>1.367E-2</v>
      </c>
      <c r="O42" s="499">
        <v>1.7524999999999999E-2</v>
      </c>
      <c r="P42" s="499">
        <v>2.1922000000000001E-2</v>
      </c>
      <c r="Q42" s="499">
        <v>3.3024999999999999E-2</v>
      </c>
      <c r="R42" s="499">
        <v>4.4802999999999996E-2</v>
      </c>
      <c r="S42" s="499">
        <v>5.7124000000000001E-2</v>
      </c>
      <c r="T42" s="499">
        <v>6.1447000000000002E-2</v>
      </c>
      <c r="U42" s="499">
        <v>6.6102999999999995E-2</v>
      </c>
      <c r="V42" s="499">
        <v>7.7407000000000004E-2</v>
      </c>
      <c r="W42" s="499">
        <v>8.7924000000000002E-2</v>
      </c>
      <c r="X42" s="499">
        <v>9.8524E-2</v>
      </c>
      <c r="Y42" s="499">
        <v>0.108677</v>
      </c>
      <c r="Z42" s="499">
        <v>0.11794499999999999</v>
      </c>
      <c r="AA42" s="499">
        <v>0.12769</v>
      </c>
      <c r="AB42" s="499">
        <v>0.137129</v>
      </c>
      <c r="AC42" s="499">
        <v>0.147067</v>
      </c>
      <c r="AD42" s="499">
        <v>0.15757499999999999</v>
      </c>
      <c r="AE42" s="499">
        <v>0.16792499999999999</v>
      </c>
      <c r="AF42" s="499">
        <v>0.178262</v>
      </c>
      <c r="AG42" s="499">
        <v>0.188668</v>
      </c>
      <c r="AH42" s="499">
        <v>0.19977200000000001</v>
      </c>
      <c r="AI42" s="499">
        <v>0.211593</v>
      </c>
      <c r="AJ42" s="499">
        <v>0.22320899999999999</v>
      </c>
      <c r="AK42" s="499" t="s">
        <v>41</v>
      </c>
      <c r="AL42" s="517" t="s">
        <v>743</v>
      </c>
      <c r="AM42" s="518">
        <v>0</v>
      </c>
    </row>
    <row r="43" spans="1:44" s="251" customFormat="1">
      <c r="A43" s="502" t="s">
        <v>727</v>
      </c>
      <c r="G43" s="500">
        <v>221.326313</v>
      </c>
      <c r="H43" s="500">
        <v>217.811364</v>
      </c>
      <c r="I43" s="500">
        <v>211.70782700000001</v>
      </c>
      <c r="J43" s="500">
        <v>214.008287</v>
      </c>
      <c r="K43" s="500">
        <v>225.028953</v>
      </c>
      <c r="L43" s="500">
        <v>225.59221600000001</v>
      </c>
      <c r="M43" s="500">
        <v>227.81075600000003</v>
      </c>
      <c r="N43" s="500">
        <v>225.44446599999998</v>
      </c>
      <c r="O43" s="500">
        <v>228.26763200000002</v>
      </c>
      <c r="P43" s="500">
        <v>224.54301099999998</v>
      </c>
      <c r="Q43" s="500">
        <v>226.04459799999998</v>
      </c>
      <c r="R43" s="500">
        <v>226.929588</v>
      </c>
      <c r="S43" s="500">
        <v>229.437186</v>
      </c>
      <c r="T43" s="500">
        <v>230.93310199999999</v>
      </c>
      <c r="U43" s="500">
        <v>231.65261000000001</v>
      </c>
      <c r="V43" s="500">
        <v>233.424654</v>
      </c>
      <c r="W43" s="500">
        <v>235.35425700000002</v>
      </c>
      <c r="X43" s="500">
        <v>235.71927399999998</v>
      </c>
      <c r="Y43" s="500">
        <v>237.205254</v>
      </c>
      <c r="Z43" s="500">
        <v>238.425839</v>
      </c>
      <c r="AA43" s="500">
        <v>238.82277500000001</v>
      </c>
      <c r="AB43" s="500">
        <v>239.23271600000001</v>
      </c>
      <c r="AC43" s="500">
        <v>239.53900499999997</v>
      </c>
      <c r="AD43" s="500">
        <v>238.68330399999999</v>
      </c>
      <c r="AE43" s="500">
        <v>239.38692700000001</v>
      </c>
      <c r="AF43" s="500">
        <v>239.08761999999999</v>
      </c>
      <c r="AG43" s="500">
        <v>239.18183200000001</v>
      </c>
      <c r="AH43" s="500">
        <v>239.61691500000001</v>
      </c>
      <c r="AI43" s="500">
        <v>241.672079</v>
      </c>
      <c r="AJ43" s="500">
        <v>243.00087500000001</v>
      </c>
      <c r="AK43" s="504">
        <v>1E-3</v>
      </c>
      <c r="AL43" s="517" t="s">
        <v>744</v>
      </c>
      <c r="AM43" s="518">
        <v>0.20018862130365273</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0.25900114103174665</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582</v>
      </c>
      <c r="AB47" s="323" t="s">
        <v>583</v>
      </c>
      <c r="AC47" s="323" t="s">
        <v>584</v>
      </c>
      <c r="AD47" s="323" t="s">
        <v>585</v>
      </c>
      <c r="AE47" s="323" t="s">
        <v>586</v>
      </c>
      <c r="AF47" s="323" t="s">
        <v>587</v>
      </c>
      <c r="AG47" s="323" t="s">
        <v>588</v>
      </c>
      <c r="AH47" s="323" t="s">
        <v>589</v>
      </c>
      <c r="AI47" s="323" t="s">
        <v>590</v>
      </c>
      <c r="AJ47" s="323" t="s">
        <v>591</v>
      </c>
      <c r="AK47" s="323" t="s">
        <v>594</v>
      </c>
    </row>
    <row r="48" spans="1:44" s="255" customFormat="1">
      <c r="A48" s="254" t="s">
        <v>757</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747</v>
      </c>
      <c r="AN48" s="255">
        <v>2006</v>
      </c>
      <c r="AO48" s="255">
        <v>2007</v>
      </c>
      <c r="AP48" s="255">
        <v>2008</v>
      </c>
      <c r="AQ48" s="255">
        <v>2009</v>
      </c>
      <c r="AR48" s="255">
        <v>2010</v>
      </c>
    </row>
    <row r="49" spans="1:44" s="255" customFormat="1">
      <c r="A49" s="254" t="s">
        <v>68</v>
      </c>
      <c r="B49" s="505">
        <f>AN51</f>
        <v>40.116</v>
      </c>
      <c r="C49" s="505">
        <f t="shared" ref="C49:F49" si="0">AO51</f>
        <v>40.027999999999999</v>
      </c>
      <c r="D49" s="505">
        <f t="shared" si="0"/>
        <v>41.706000000000003</v>
      </c>
      <c r="E49" s="505">
        <f t="shared" si="0"/>
        <v>37.28</v>
      </c>
      <c r="F49" s="505">
        <f t="shared" si="0"/>
        <v>40.168999999999997</v>
      </c>
      <c r="G49" s="484">
        <f t="shared" ref="G49:AJ49" si="1">G36*$AM36</f>
        <v>42.435000600000002</v>
      </c>
      <c r="H49" s="484">
        <f t="shared" si="1"/>
        <v>39.500400300000003</v>
      </c>
      <c r="I49" s="484">
        <f t="shared" si="1"/>
        <v>40.839429899999992</v>
      </c>
      <c r="J49" s="484">
        <f t="shared" si="1"/>
        <v>40.651676699999996</v>
      </c>
      <c r="K49" s="484">
        <f t="shared" si="1"/>
        <v>41.726684099999993</v>
      </c>
      <c r="L49" s="484">
        <f t="shared" si="1"/>
        <v>38.992002599999999</v>
      </c>
      <c r="M49" s="484">
        <f t="shared" si="1"/>
        <v>38.306378099999996</v>
      </c>
      <c r="N49" s="484">
        <f t="shared" si="1"/>
        <v>39.161059200000004</v>
      </c>
      <c r="O49" s="484">
        <f t="shared" si="1"/>
        <v>39.531419700000001</v>
      </c>
      <c r="P49" s="484">
        <f t="shared" si="1"/>
        <v>39.779886900000001</v>
      </c>
      <c r="Q49" s="484">
        <f t="shared" si="1"/>
        <v>39.884359199999999</v>
      </c>
      <c r="R49" s="484">
        <f t="shared" si="1"/>
        <v>39.993338099999995</v>
      </c>
      <c r="S49" s="484">
        <f t="shared" si="1"/>
        <v>40.223826599999995</v>
      </c>
      <c r="T49" s="484">
        <f t="shared" si="1"/>
        <v>40.406831999999994</v>
      </c>
      <c r="U49" s="484">
        <f t="shared" si="1"/>
        <v>40.511844600000003</v>
      </c>
      <c r="V49" s="484">
        <f t="shared" si="1"/>
        <v>40.528220699999999</v>
      </c>
      <c r="W49" s="484">
        <f t="shared" si="1"/>
        <v>40.466961599999998</v>
      </c>
      <c r="X49" s="484">
        <f t="shared" si="1"/>
        <v>40.389875700000005</v>
      </c>
      <c r="Y49" s="484">
        <f t="shared" si="1"/>
        <v>40.412423099999998</v>
      </c>
      <c r="Z49" s="484">
        <f t="shared" si="1"/>
        <v>40.422397499999995</v>
      </c>
      <c r="AA49" s="484">
        <f t="shared" si="1"/>
        <v>40.414323899999992</v>
      </c>
      <c r="AB49" s="484">
        <f t="shared" si="1"/>
        <v>40.380213299999994</v>
      </c>
      <c r="AC49" s="484">
        <f t="shared" si="1"/>
        <v>40.359080999999996</v>
      </c>
      <c r="AD49" s="484">
        <f t="shared" si="1"/>
        <v>40.320621299999999</v>
      </c>
      <c r="AE49" s="484">
        <f t="shared" si="1"/>
        <v>40.294294799999996</v>
      </c>
      <c r="AF49" s="484">
        <f t="shared" si="1"/>
        <v>40.260213900000004</v>
      </c>
      <c r="AG49" s="484">
        <f t="shared" si="1"/>
        <v>40.225189499999999</v>
      </c>
      <c r="AH49" s="484">
        <f t="shared" si="1"/>
        <v>40.188496499999999</v>
      </c>
      <c r="AI49" s="484">
        <f t="shared" si="1"/>
        <v>40.156778100000004</v>
      </c>
      <c r="AJ49" s="484">
        <f t="shared" si="1"/>
        <v>40.127383799999997</v>
      </c>
      <c r="AK49"/>
    </row>
    <row r="50" spans="1:44" s="255" customFormat="1">
      <c r="A50" s="254" t="s">
        <v>69</v>
      </c>
      <c r="B50" s="505">
        <f t="shared" ref="B50:B51" si="2">AN52</f>
        <v>0.877</v>
      </c>
      <c r="C50" s="505">
        <f t="shared" ref="C50:C51" si="3">AO52</f>
        <v>1.0129999999999999</v>
      </c>
      <c r="D50" s="505">
        <f t="shared" ref="D50:D51" si="4">AP52</f>
        <v>0.93100000000000005</v>
      </c>
      <c r="E50" s="505">
        <f t="shared" ref="E50:E51" si="5">AQ52</f>
        <v>0.71199999999999997</v>
      </c>
      <c r="F50" s="505">
        <f t="shared" ref="F50:F51" si="6">AR52</f>
        <v>0.71799999999999997</v>
      </c>
      <c r="G50" s="484">
        <f t="shared" ref="G50:AJ50" si="7">G37*$AM37</f>
        <v>0.39746888023859994</v>
      </c>
      <c r="H50" s="484">
        <f t="shared" si="7"/>
        <v>0.17777792556639618</v>
      </c>
      <c r="I50" s="484">
        <f t="shared" si="7"/>
        <v>0.35115796730905202</v>
      </c>
      <c r="J50" s="484">
        <f t="shared" si="7"/>
        <v>0.35007296730749454</v>
      </c>
      <c r="K50" s="484">
        <f t="shared" si="7"/>
        <v>0.35941991752838059</v>
      </c>
      <c r="L50" s="484">
        <f t="shared" si="7"/>
        <v>0.33721053990313893</v>
      </c>
      <c r="M50" s="484">
        <f t="shared" si="7"/>
        <v>0.33126265607717359</v>
      </c>
      <c r="N50" s="484">
        <f t="shared" si="7"/>
        <v>0.33991950256262921</v>
      </c>
      <c r="O50" s="484">
        <f t="shared" si="7"/>
        <v>0.34345298804487978</v>
      </c>
      <c r="P50" s="484">
        <f t="shared" si="7"/>
        <v>0.34768107933725606</v>
      </c>
      <c r="Q50" s="484">
        <f t="shared" si="7"/>
        <v>0.34772610008420868</v>
      </c>
      <c r="R50" s="484">
        <f t="shared" si="7"/>
        <v>0.34780713742872332</v>
      </c>
      <c r="S50" s="484">
        <f t="shared" si="7"/>
        <v>0.34982921212042262</v>
      </c>
      <c r="T50" s="484">
        <f t="shared" si="7"/>
        <v>0.35172136979948726</v>
      </c>
      <c r="U50" s="484">
        <f t="shared" si="7"/>
        <v>0.35269832000835855</v>
      </c>
      <c r="V50" s="484">
        <f t="shared" si="7"/>
        <v>0.3527234029959464</v>
      </c>
      <c r="W50" s="484">
        <f t="shared" si="7"/>
        <v>0.35236709594149301</v>
      </c>
      <c r="X50" s="484">
        <f t="shared" si="7"/>
        <v>0.35172651502771052</v>
      </c>
      <c r="Y50" s="484">
        <f t="shared" si="7"/>
        <v>0.35202558141818124</v>
      </c>
      <c r="Z50" s="484">
        <f t="shared" si="7"/>
        <v>0.35235809179210253</v>
      </c>
      <c r="AA50" s="484">
        <f t="shared" si="7"/>
        <v>0.35229634905342472</v>
      </c>
      <c r="AB50" s="484">
        <f t="shared" si="7"/>
        <v>0.35218765610721053</v>
      </c>
      <c r="AC50" s="484">
        <f t="shared" si="7"/>
        <v>0.35197348598242184</v>
      </c>
      <c r="AD50" s="484">
        <f t="shared" si="7"/>
        <v>0.35177153577466302</v>
      </c>
      <c r="AE50" s="484">
        <f t="shared" si="7"/>
        <v>0.35162425361677535</v>
      </c>
      <c r="AF50" s="484">
        <f t="shared" si="7"/>
        <v>0.35124865195648514</v>
      </c>
      <c r="AG50" s="484">
        <f t="shared" si="7"/>
        <v>0.35096952332537906</v>
      </c>
      <c r="AH50" s="484">
        <f t="shared" si="7"/>
        <v>0.35082417062807492</v>
      </c>
      <c r="AI50" s="484">
        <f t="shared" si="7"/>
        <v>0.35049101710062575</v>
      </c>
      <c r="AJ50" s="484">
        <f t="shared" si="7"/>
        <v>0.3492291498788973</v>
      </c>
      <c r="AK50"/>
      <c r="AM50" s="255" t="s">
        <v>756</v>
      </c>
      <c r="AN50" s="255">
        <v>46.351999999999997</v>
      </c>
      <c r="AO50" s="255">
        <v>47.53</v>
      </c>
      <c r="AP50" s="255">
        <v>47.881</v>
      </c>
      <c r="AQ50" s="255">
        <v>43.476999999999997</v>
      </c>
      <c r="AR50" s="255">
        <v>46.384</v>
      </c>
    </row>
    <row r="51" spans="1:44" s="255" customFormat="1">
      <c r="A51" s="254" t="s">
        <v>76</v>
      </c>
      <c r="B51" s="505">
        <f t="shared" si="2"/>
        <v>5.3579999999999997</v>
      </c>
      <c r="C51" s="505">
        <f t="shared" si="3"/>
        <v>6.4889999999999999</v>
      </c>
      <c r="D51" s="505">
        <f t="shared" si="4"/>
        <v>5.2439999999999998</v>
      </c>
      <c r="E51" s="505">
        <f t="shared" si="5"/>
        <v>5.484</v>
      </c>
      <c r="F51" s="505">
        <f t="shared" si="6"/>
        <v>5.4969999999999999</v>
      </c>
      <c r="G51" s="484">
        <f t="shared" ref="G51:AJ51" si="8">G38*$AM38</f>
        <v>2.9947791463167106</v>
      </c>
      <c r="H51" s="484">
        <f t="shared" si="8"/>
        <v>5.7212479996329586</v>
      </c>
      <c r="I51" s="484">
        <f t="shared" si="8"/>
        <v>1.7943704120643769</v>
      </c>
      <c r="J51" s="484">
        <f t="shared" si="8"/>
        <v>2.7526384408391555</v>
      </c>
      <c r="K51" s="484">
        <f t="shared" si="8"/>
        <v>2.6087706600833522</v>
      </c>
      <c r="L51" s="484">
        <f t="shared" si="8"/>
        <v>6.766163990466139</v>
      </c>
      <c r="M51" s="484">
        <f t="shared" si="8"/>
        <v>7.7497450255218912</v>
      </c>
      <c r="N51" s="484">
        <f t="shared" si="8"/>
        <v>9.1856268406992836</v>
      </c>
      <c r="O51" s="484">
        <f t="shared" si="8"/>
        <v>9.9175474705210007</v>
      </c>
      <c r="P51" s="484">
        <f t="shared" si="8"/>
        <v>11.689720109371743</v>
      </c>
      <c r="Q51" s="484">
        <f t="shared" si="8"/>
        <v>12.228753215456978</v>
      </c>
      <c r="R51" s="484">
        <f t="shared" si="8"/>
        <v>12.43034508097986</v>
      </c>
      <c r="S51" s="484">
        <f t="shared" si="8"/>
        <v>13.254900154746116</v>
      </c>
      <c r="T51" s="484">
        <f t="shared" si="8"/>
        <v>13.601301225512298</v>
      </c>
      <c r="U51" s="484">
        <f t="shared" si="8"/>
        <v>13.762477507703485</v>
      </c>
      <c r="V51" s="484">
        <f t="shared" si="8"/>
        <v>14.579577400688647</v>
      </c>
      <c r="W51" s="484">
        <f t="shared" si="8"/>
        <v>15.303541459701817</v>
      </c>
      <c r="X51" s="484">
        <f t="shared" si="8"/>
        <v>15.598866417298236</v>
      </c>
      <c r="Y51" s="484">
        <f t="shared" si="8"/>
        <v>16.266073700411823</v>
      </c>
      <c r="Z51" s="484">
        <f t="shared" si="8"/>
        <v>16.786427391602285</v>
      </c>
      <c r="AA51" s="484">
        <f t="shared" si="8"/>
        <v>16.987581619366978</v>
      </c>
      <c r="AB51" s="484">
        <f t="shared" si="8"/>
        <v>17.195441339573431</v>
      </c>
      <c r="AC51" s="484">
        <f t="shared" si="8"/>
        <v>17.351914334050086</v>
      </c>
      <c r="AD51" s="484">
        <f t="shared" si="8"/>
        <v>16.973042746591862</v>
      </c>
      <c r="AE51" s="484">
        <f t="shared" si="8"/>
        <v>17.321153145118956</v>
      </c>
      <c r="AF51" s="484">
        <f t="shared" si="8"/>
        <v>17.220314790734729</v>
      </c>
      <c r="AG51" s="484">
        <f t="shared" si="8"/>
        <v>17.284079043509433</v>
      </c>
      <c r="AH51" s="484">
        <f t="shared" si="8"/>
        <v>17.524597661173498</v>
      </c>
      <c r="AI51" s="484">
        <f t="shared" si="8"/>
        <v>18.514084169592785</v>
      </c>
      <c r="AJ51" s="484">
        <f t="shared" si="8"/>
        <v>19.135684133822693</v>
      </c>
      <c r="AK51"/>
      <c r="AM51" s="255" t="s">
        <v>68</v>
      </c>
      <c r="AN51" s="255">
        <v>40.116</v>
      </c>
      <c r="AO51" s="255">
        <v>40.027999999999999</v>
      </c>
      <c r="AP51" s="255">
        <v>41.706000000000003</v>
      </c>
      <c r="AQ51" s="255">
        <v>37.28</v>
      </c>
      <c r="AR51" s="255">
        <v>40.168999999999997</v>
      </c>
    </row>
    <row r="52" spans="1:44" s="255" customFormat="1">
      <c r="A52" s="254" t="s">
        <v>71</v>
      </c>
      <c r="B52" s="506">
        <f>AN55</f>
        <v>12.234</v>
      </c>
      <c r="C52" s="506">
        <f t="shared" ref="C52:F52" si="9">AO55</f>
        <v>12.91</v>
      </c>
      <c r="D52" s="506">
        <f t="shared" si="9"/>
        <v>12.154999999999999</v>
      </c>
      <c r="E52" s="506">
        <f t="shared" si="9"/>
        <v>12.683</v>
      </c>
      <c r="F52" s="506">
        <f t="shared" si="9"/>
        <v>13.281000000000001</v>
      </c>
      <c r="G52" s="484">
        <f>G39*$AM40</f>
        <v>11.4808</v>
      </c>
      <c r="H52" s="484">
        <f t="shared" ref="H52:AJ52" si="10">H39*$AM40</f>
        <v>10.643200400000001</v>
      </c>
      <c r="I52" s="484">
        <f t="shared" si="10"/>
        <v>10.10069</v>
      </c>
      <c r="J52" s="484">
        <f t="shared" si="10"/>
        <v>10.0816588</v>
      </c>
      <c r="K52" s="484">
        <f t="shared" si="10"/>
        <v>10.4000968</v>
      </c>
      <c r="L52" s="484">
        <f t="shared" si="10"/>
        <v>8.9752816000000006</v>
      </c>
      <c r="M52" s="484">
        <f t="shared" si="10"/>
        <v>9.8614992000000008</v>
      </c>
      <c r="N52" s="484">
        <f t="shared" si="10"/>
        <v>6.5087968000000007</v>
      </c>
      <c r="O52" s="484">
        <f t="shared" si="10"/>
        <v>6.5087968000000007</v>
      </c>
      <c r="P52" s="484">
        <f t="shared" si="10"/>
        <v>3.1570692000000005</v>
      </c>
      <c r="Q52" s="484">
        <f t="shared" si="10"/>
        <v>3.1570692000000005</v>
      </c>
      <c r="R52" s="484">
        <f t="shared" si="10"/>
        <v>3.1570692000000005</v>
      </c>
      <c r="S52" s="484">
        <f t="shared" si="10"/>
        <v>3.1570692000000005</v>
      </c>
      <c r="T52" s="484">
        <f t="shared" si="10"/>
        <v>3.1570692000000005</v>
      </c>
      <c r="U52" s="484">
        <f t="shared" si="10"/>
        <v>3.1570692000000005</v>
      </c>
      <c r="V52" s="484">
        <f t="shared" si="10"/>
        <v>3.1570692000000005</v>
      </c>
      <c r="W52" s="484">
        <f t="shared" si="10"/>
        <v>3.1570692000000005</v>
      </c>
      <c r="X52" s="484">
        <f t="shared" si="10"/>
        <v>3.1570692000000005</v>
      </c>
      <c r="Y52" s="484">
        <f t="shared" si="10"/>
        <v>3.1570692000000005</v>
      </c>
      <c r="Z52" s="484">
        <f t="shared" si="10"/>
        <v>3.1570692000000005</v>
      </c>
      <c r="AA52" s="484">
        <f t="shared" si="10"/>
        <v>3.1570692000000005</v>
      </c>
      <c r="AB52" s="484">
        <f t="shared" si="10"/>
        <v>3.1570692000000005</v>
      </c>
      <c r="AC52" s="484">
        <f t="shared" si="10"/>
        <v>3.1570692000000005</v>
      </c>
      <c r="AD52" s="484">
        <f t="shared" si="10"/>
        <v>3.1570692000000005</v>
      </c>
      <c r="AE52" s="484">
        <f t="shared" si="10"/>
        <v>3.1570692000000005</v>
      </c>
      <c r="AF52" s="484">
        <f t="shared" si="10"/>
        <v>3.1570692000000005</v>
      </c>
      <c r="AG52" s="484">
        <f t="shared" si="10"/>
        <v>3.1570692000000005</v>
      </c>
      <c r="AH52" s="484">
        <f t="shared" si="10"/>
        <v>3.1570692000000005</v>
      </c>
      <c r="AI52" s="484">
        <f t="shared" si="10"/>
        <v>3.1570692000000005</v>
      </c>
      <c r="AJ52" s="484">
        <f t="shared" si="10"/>
        <v>3.1570692000000005</v>
      </c>
      <c r="AK52"/>
      <c r="AM52" s="255" t="s">
        <v>69</v>
      </c>
      <c r="AN52" s="255">
        <v>0.877</v>
      </c>
      <c r="AO52" s="255">
        <v>1.0129999999999999</v>
      </c>
      <c r="AP52" s="255">
        <v>0.93100000000000005</v>
      </c>
      <c r="AQ52" s="255">
        <v>0.71199999999999997</v>
      </c>
      <c r="AR52" s="255">
        <v>0.71799999999999997</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748</v>
      </c>
      <c r="AN53" s="255">
        <v>5.3579999999999997</v>
      </c>
      <c r="AO53" s="255">
        <v>6.4889999999999999</v>
      </c>
      <c r="AP53" s="255">
        <v>5.2439999999999998</v>
      </c>
      <c r="AQ53" s="255">
        <v>5.484</v>
      </c>
      <c r="AR53" s="255">
        <v>5.4969999999999999</v>
      </c>
    </row>
    <row r="54" spans="1:44" s="255" customFormat="1">
      <c r="A54" s="254" t="s">
        <v>628</v>
      </c>
      <c r="B54" s="506">
        <f>AN56</f>
        <v>2.944</v>
      </c>
      <c r="C54" s="506">
        <f t="shared" ref="C54:F54" si="11">AO56</f>
        <v>2.8460000000000001</v>
      </c>
      <c r="D54" s="506">
        <f t="shared" si="11"/>
        <v>3.37</v>
      </c>
      <c r="E54" s="506">
        <f t="shared" si="11"/>
        <v>3.734</v>
      </c>
      <c r="F54" s="506">
        <f t="shared" si="11"/>
        <v>4.5860000000000003</v>
      </c>
      <c r="G54" s="484">
        <f>EIA_RE_aeo2014!G79</f>
        <v>5.7669741918878641</v>
      </c>
      <c r="H54" s="484">
        <f>EIA_RE_aeo2014!H79</f>
        <v>5.7804029354331297</v>
      </c>
      <c r="I54" s="484">
        <f>EIA_RE_aeo2014!I79</f>
        <v>5.014273538864602</v>
      </c>
      <c r="J54" s="484">
        <f>EIA_RE_aeo2014!J79</f>
        <v>5.288397254623673</v>
      </c>
      <c r="K54" s="484">
        <f>EIA_RE_aeo2014!K79</f>
        <v>5.6205905995403125</v>
      </c>
      <c r="L54" s="484">
        <f>EIA_RE_aeo2014!L79</f>
        <v>5.9305369358743656</v>
      </c>
      <c r="M54" s="484">
        <f>EIA_RE_aeo2014!M79</f>
        <v>6.021937911974014</v>
      </c>
      <c r="N54" s="484">
        <f>EIA_RE_aeo2014!N79</f>
        <v>6.1407184634875822</v>
      </c>
      <c r="O54" s="484">
        <f>EIA_RE_aeo2014!O79</f>
        <v>6.2179342223347263</v>
      </c>
      <c r="P54" s="484">
        <f>EIA_RE_aeo2014!P79</f>
        <v>6.3393705260331643</v>
      </c>
      <c r="Q54" s="484">
        <f>EIA_RE_aeo2014!Q79</f>
        <v>6.4182399355892246</v>
      </c>
      <c r="R54" s="484">
        <f>EIA_RE_aeo2014!R79</f>
        <v>6.5256446739400795</v>
      </c>
      <c r="S54" s="484">
        <f>EIA_RE_aeo2014!S79</f>
        <v>6.5877107537236324</v>
      </c>
      <c r="T54" s="484">
        <f>EIA_RE_aeo2014!T79</f>
        <v>6.7186223678114683</v>
      </c>
      <c r="U54" s="484">
        <f>EIA_RE_aeo2014!U79</f>
        <v>6.7832112848414203</v>
      </c>
      <c r="V54" s="484">
        <f>EIA_RE_aeo2014!V79</f>
        <v>6.8450825070412122</v>
      </c>
      <c r="W54" s="484">
        <f>EIA_RE_aeo2014!W79</f>
        <v>7.0156585475495135</v>
      </c>
      <c r="X54" s="484">
        <f>EIA_RE_aeo2014!X79</f>
        <v>7.0645058927465287</v>
      </c>
      <c r="Y54" s="484">
        <f>EIA_RE_aeo2014!Y79</f>
        <v>7.1195294646387479</v>
      </c>
      <c r="Z54" s="484">
        <f>EIA_RE_aeo2014!Z79</f>
        <v>7.1983253761568857</v>
      </c>
      <c r="AA54" s="484">
        <f>EIA_RE_aeo2014!AA79</f>
        <v>7.249945387749138</v>
      </c>
      <c r="AB54" s="484">
        <f>EIA_RE_aeo2014!AB79</f>
        <v>7.3120841327470441</v>
      </c>
      <c r="AC54" s="484">
        <f>EIA_RE_aeo2014!AC79</f>
        <v>7.3777559549841847</v>
      </c>
      <c r="AD54" s="484">
        <f>EIA_RE_aeo2014!AD79</f>
        <v>7.4468779540569532</v>
      </c>
      <c r="AE54" s="484">
        <f>EIA_RE_aeo2014!AE79</f>
        <v>7.5101626353781512</v>
      </c>
      <c r="AF54" s="484">
        <f>EIA_RE_aeo2014!AF79</f>
        <v>7.5751122868950027</v>
      </c>
      <c r="AG54" s="484">
        <f>EIA_RE_aeo2014!AG79</f>
        <v>7.6344733022270157</v>
      </c>
      <c r="AH54" s="484">
        <f>EIA_RE_aeo2014!AH79</f>
        <v>7.6948116210097126</v>
      </c>
      <c r="AI54" s="484">
        <f>EIA_RE_aeo2014!AI79</f>
        <v>7.7634820589609124</v>
      </c>
      <c r="AJ54" s="484">
        <f>EIA_RE_aeo2014!AJ79</f>
        <v>7.8238292547572854</v>
      </c>
      <c r="AK54"/>
      <c r="AM54" s="255" t="s">
        <v>749</v>
      </c>
      <c r="AN54" s="255">
        <v>0</v>
      </c>
      <c r="AO54" s="255">
        <v>0</v>
      </c>
      <c r="AP54" s="255">
        <v>0</v>
      </c>
      <c r="AQ54" s="255">
        <v>0</v>
      </c>
      <c r="AR54" s="255">
        <v>0</v>
      </c>
    </row>
    <row r="55" spans="1:44" s="255" customFormat="1">
      <c r="A55" s="254" t="s">
        <v>629</v>
      </c>
      <c r="B55" s="506">
        <f>AN58</f>
        <v>0.11</v>
      </c>
      <c r="C55" s="506">
        <f t="shared" ref="C55:F55" si="12">AO58</f>
        <v>0.104</v>
      </c>
      <c r="D55" s="506">
        <f t="shared" si="12"/>
        <v>7.3999999999999996E-2</v>
      </c>
      <c r="E55" s="506">
        <f t="shared" si="12"/>
        <v>6.5000000000000002E-2</v>
      </c>
      <c r="F55" s="506">
        <f t="shared" si="12"/>
        <v>6.3E-2</v>
      </c>
      <c r="G55" s="484">
        <f>G40*$AM43</f>
        <v>6.552173575268555E-2</v>
      </c>
      <c r="H55" s="484">
        <f t="shared" ref="H55:AJ55" si="13">H40*$AM43</f>
        <v>6.552173575268555E-2</v>
      </c>
      <c r="I55" s="484">
        <f t="shared" si="13"/>
        <v>6.552173575268555E-2</v>
      </c>
      <c r="J55" s="484">
        <f t="shared" si="13"/>
        <v>6.552173575268555E-2</v>
      </c>
      <c r="K55" s="484">
        <f t="shared" si="13"/>
        <v>6.552173575268555E-2</v>
      </c>
      <c r="L55" s="484">
        <f t="shared" si="13"/>
        <v>6.552173575268555E-2</v>
      </c>
      <c r="M55" s="484">
        <f t="shared" si="13"/>
        <v>6.552173575268555E-2</v>
      </c>
      <c r="N55" s="484">
        <f t="shared" si="13"/>
        <v>6.552173575268555E-2</v>
      </c>
      <c r="O55" s="484">
        <f t="shared" si="13"/>
        <v>6.5934724878434978E-2</v>
      </c>
      <c r="P55" s="484">
        <f t="shared" si="13"/>
        <v>6.6169145753981556E-2</v>
      </c>
      <c r="Q55" s="484">
        <f t="shared" si="13"/>
        <v>6.6853390461597439E-2</v>
      </c>
      <c r="R55" s="484">
        <f t="shared" si="13"/>
        <v>6.6907441389349412E-2</v>
      </c>
      <c r="S55" s="484">
        <f t="shared" si="13"/>
        <v>6.6907441389349412E-2</v>
      </c>
      <c r="T55" s="484">
        <f t="shared" si="13"/>
        <v>6.6907441389349412E-2</v>
      </c>
      <c r="U55" s="484">
        <f t="shared" si="13"/>
        <v>6.7000128721013019E-2</v>
      </c>
      <c r="V55" s="484">
        <f t="shared" si="13"/>
        <v>6.7035762295605053E-2</v>
      </c>
      <c r="W55" s="484">
        <f t="shared" si="13"/>
        <v>6.7055180591871516E-2</v>
      </c>
      <c r="X55" s="484">
        <f t="shared" si="13"/>
        <v>6.7090613977842259E-2</v>
      </c>
      <c r="Y55" s="484">
        <f t="shared" si="13"/>
        <v>6.7130451513481681E-2</v>
      </c>
      <c r="Z55" s="484">
        <f t="shared" si="13"/>
        <v>6.7146866980428585E-2</v>
      </c>
      <c r="AA55" s="484">
        <f t="shared" si="13"/>
        <v>6.7184702629854973E-2</v>
      </c>
      <c r="AB55" s="484">
        <f t="shared" si="13"/>
        <v>6.7203520360257521E-2</v>
      </c>
      <c r="AC55" s="484">
        <f t="shared" si="13"/>
        <v>6.7267981096317306E-2</v>
      </c>
      <c r="AD55" s="484">
        <f t="shared" si="13"/>
        <v>6.7330439946164042E-2</v>
      </c>
      <c r="AE55" s="484">
        <f t="shared" si="13"/>
        <v>6.7369076350075649E-2</v>
      </c>
      <c r="AF55" s="484">
        <f t="shared" si="13"/>
        <v>6.743133501130108E-2</v>
      </c>
      <c r="AG55" s="484">
        <f t="shared" si="13"/>
        <v>6.7499799519786935E-2</v>
      </c>
      <c r="AH55" s="484">
        <f t="shared" si="13"/>
        <v>6.7542639884745917E-2</v>
      </c>
      <c r="AI55" s="484">
        <f t="shared" si="13"/>
        <v>6.7592086474207919E-2</v>
      </c>
      <c r="AJ55" s="484">
        <f t="shared" si="13"/>
        <v>6.7642934384019041E-2</v>
      </c>
      <c r="AK55"/>
      <c r="AM55" s="255" t="s">
        <v>225</v>
      </c>
      <c r="AN55" s="255">
        <v>12.234</v>
      </c>
      <c r="AO55" s="255">
        <v>12.91</v>
      </c>
      <c r="AP55" s="255">
        <v>12.154999999999999</v>
      </c>
      <c r="AQ55" s="255">
        <v>12.683</v>
      </c>
      <c r="AR55" s="255">
        <v>13.281000000000001</v>
      </c>
    </row>
    <row r="56" spans="1:44" s="255" customFormat="1">
      <c r="A56" s="254" t="s">
        <v>82</v>
      </c>
      <c r="B56" s="506">
        <f>AN59</f>
        <v>61.64</v>
      </c>
      <c r="C56" s="506">
        <f t="shared" ref="C56" si="14">AO59</f>
        <v>63.390999999999998</v>
      </c>
      <c r="D56" s="506">
        <f t="shared" ref="D56" si="15">AP59</f>
        <v>63.48</v>
      </c>
      <c r="E56" s="506">
        <f t="shared" ref="E56" si="16">AQ59</f>
        <v>59.959000000000003</v>
      </c>
      <c r="F56" s="506">
        <f t="shared" ref="F56" si="17">AR59</f>
        <v>64.313999999999993</v>
      </c>
      <c r="G56" s="484">
        <f>G43*$AM44</f>
        <v>57.323767607349502</v>
      </c>
      <c r="H56" s="484">
        <f t="shared" ref="H56:AJ56" si="18">H43*$AM44</f>
        <v>56.413391805681101</v>
      </c>
      <c r="I56" s="484">
        <f t="shared" si="18"/>
        <v>54.832568758351627</v>
      </c>
      <c r="J56" s="484">
        <f t="shared" si="18"/>
        <v>55.428390523249512</v>
      </c>
      <c r="K56" s="484">
        <f t="shared" si="18"/>
        <v>58.282755592179292</v>
      </c>
      <c r="L56" s="484">
        <f t="shared" si="18"/>
        <v>58.428641351880252</v>
      </c>
      <c r="M56" s="484">
        <f t="shared" si="18"/>
        <v>59.003245743304831</v>
      </c>
      <c r="N56" s="484">
        <f t="shared" si="18"/>
        <v>58.390373933292807</v>
      </c>
      <c r="O56" s="484">
        <f t="shared" si="18"/>
        <v>59.121577148614847</v>
      </c>
      <c r="P56" s="484">
        <f t="shared" si="18"/>
        <v>58.156896059704032</v>
      </c>
      <c r="Q56" s="484">
        <f t="shared" si="18"/>
        <v>58.545808806062475</v>
      </c>
      <c r="R56" s="484">
        <f t="shared" si="18"/>
        <v>58.775022225864163</v>
      </c>
      <c r="S56" s="484">
        <f t="shared" si="18"/>
        <v>59.424492969113089</v>
      </c>
      <c r="T56" s="484">
        <f t="shared" si="18"/>
        <v>59.811936920000733</v>
      </c>
      <c r="U56" s="484">
        <f t="shared" si="18"/>
        <v>59.998290312982206</v>
      </c>
      <c r="V56" s="484">
        <f t="shared" si="18"/>
        <v>60.457251730940669</v>
      </c>
      <c r="W56" s="484">
        <f t="shared" si="18"/>
        <v>60.957021109678948</v>
      </c>
      <c r="X56" s="484">
        <f t="shared" si="18"/>
        <v>61.051560929174926</v>
      </c>
      <c r="Y56" s="484">
        <f t="shared" si="18"/>
        <v>61.436431444725287</v>
      </c>
      <c r="Z56" s="484">
        <f t="shared" si="18"/>
        <v>61.752564352451522</v>
      </c>
      <c r="AA56" s="484">
        <f t="shared" si="18"/>
        <v>61.855371229368103</v>
      </c>
      <c r="AB56" s="484">
        <f t="shared" si="18"/>
        <v>61.961546416123795</v>
      </c>
      <c r="AC56" s="484">
        <f t="shared" si="18"/>
        <v>62.040875616609263</v>
      </c>
      <c r="AD56" s="484">
        <f t="shared" si="18"/>
        <v>61.819248081227258</v>
      </c>
      <c r="AE56" s="484">
        <f t="shared" si="18"/>
        <v>62.001487241083446</v>
      </c>
      <c r="AF56" s="484">
        <f t="shared" si="18"/>
        <v>61.923966386564651</v>
      </c>
      <c r="AG56" s="484">
        <f t="shared" si="18"/>
        <v>61.948367402063539</v>
      </c>
      <c r="AH56" s="484">
        <f t="shared" si="18"/>
        <v>62.06105439550705</v>
      </c>
      <c r="AI56" s="484">
        <f t="shared" si="18"/>
        <v>62.593344216514417</v>
      </c>
      <c r="AJ56" s="484">
        <f t="shared" si="18"/>
        <v>62.93750389671284</v>
      </c>
      <c r="AK56"/>
      <c r="AM56" s="255" t="s">
        <v>750</v>
      </c>
      <c r="AN56" s="255">
        <v>2.944</v>
      </c>
      <c r="AO56" s="255">
        <v>2.8460000000000001</v>
      </c>
      <c r="AP56" s="255">
        <v>3.37</v>
      </c>
      <c r="AQ56" s="255">
        <v>3.734</v>
      </c>
      <c r="AR56" s="255">
        <v>4.5860000000000003</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751</v>
      </c>
      <c r="AN57" s="255">
        <v>0</v>
      </c>
      <c r="AO57" s="255">
        <v>0</v>
      </c>
      <c r="AP57" s="255">
        <v>0</v>
      </c>
      <c r="AQ57" s="255">
        <v>0</v>
      </c>
      <c r="AR57" s="255">
        <v>0</v>
      </c>
    </row>
    <row r="58" spans="1:44" s="255" customFormat="1">
      <c r="A58" s="254" t="s">
        <v>83</v>
      </c>
      <c r="B58" s="483">
        <f>SUM(B49:B52,B54,B55)</f>
        <v>61.639000000000003</v>
      </c>
      <c r="C58" s="483">
        <f t="shared" ref="C58:AJ58" si="19">SUM(C49:C52,C54,C55)</f>
        <v>63.39</v>
      </c>
      <c r="D58" s="483">
        <f t="shared" si="19"/>
        <v>63.48</v>
      </c>
      <c r="E58" s="483">
        <f t="shared" si="19"/>
        <v>59.958000000000006</v>
      </c>
      <c r="F58" s="483">
        <f t="shared" si="19"/>
        <v>64.314000000000007</v>
      </c>
      <c r="G58" s="483">
        <f t="shared" si="19"/>
        <v>63.140544554195856</v>
      </c>
      <c r="H58" s="483">
        <f t="shared" si="19"/>
        <v>61.888551296385174</v>
      </c>
      <c r="I58" s="483">
        <f t="shared" si="19"/>
        <v>58.165443553990698</v>
      </c>
      <c r="J58" s="483">
        <f t="shared" si="19"/>
        <v>59.189965898523006</v>
      </c>
      <c r="K58" s="483">
        <f t="shared" si="19"/>
        <v>60.781083812904718</v>
      </c>
      <c r="L58" s="483">
        <f t="shared" si="19"/>
        <v>61.066717401996328</v>
      </c>
      <c r="M58" s="483">
        <f t="shared" si="19"/>
        <v>62.336344629325758</v>
      </c>
      <c r="N58" s="483">
        <f t="shared" si="19"/>
        <v>61.401642542502181</v>
      </c>
      <c r="O58" s="483">
        <f t="shared" si="19"/>
        <v>62.585085905779039</v>
      </c>
      <c r="P58" s="483">
        <f t="shared" si="19"/>
        <v>61.379896960496147</v>
      </c>
      <c r="Q58" s="483">
        <f t="shared" si="19"/>
        <v>62.103001041592009</v>
      </c>
      <c r="R58" s="483">
        <f t="shared" si="19"/>
        <v>62.521111633738009</v>
      </c>
      <c r="S58" s="483">
        <f t="shared" si="19"/>
        <v>63.640243361979522</v>
      </c>
      <c r="T58" s="483">
        <f t="shared" si="19"/>
        <v>64.302453604512593</v>
      </c>
      <c r="U58" s="483">
        <f t="shared" si="19"/>
        <v>64.634301041274284</v>
      </c>
      <c r="V58" s="483">
        <f t="shared" si="19"/>
        <v>65.529708973021414</v>
      </c>
      <c r="W58" s="483">
        <f t="shared" si="19"/>
        <v>66.362653083784693</v>
      </c>
      <c r="X58" s="483">
        <f t="shared" si="19"/>
        <v>66.629134339050324</v>
      </c>
      <c r="Y58" s="483">
        <f t="shared" si="19"/>
        <v>67.374251497982229</v>
      </c>
      <c r="Z58" s="483">
        <f t="shared" si="19"/>
        <v>67.983724426531694</v>
      </c>
      <c r="AA58" s="483">
        <f t="shared" si="19"/>
        <v>68.2284011587994</v>
      </c>
      <c r="AB58" s="483">
        <f t="shared" si="19"/>
        <v>68.464199148787927</v>
      </c>
      <c r="AC58" s="483">
        <f t="shared" si="19"/>
        <v>68.665061956113007</v>
      </c>
      <c r="AD58" s="483">
        <f t="shared" si="19"/>
        <v>68.316713176369632</v>
      </c>
      <c r="AE58" s="483">
        <f t="shared" si="19"/>
        <v>68.701673110463958</v>
      </c>
      <c r="AF58" s="483">
        <f t="shared" si="19"/>
        <v>68.631390164597519</v>
      </c>
      <c r="AG58" s="483">
        <f t="shared" si="19"/>
        <v>68.719280368581607</v>
      </c>
      <c r="AH58" s="483">
        <f t="shared" si="19"/>
        <v>68.983341792696038</v>
      </c>
      <c r="AI58" s="483">
        <f t="shared" si="19"/>
        <v>70.009496632128531</v>
      </c>
      <c r="AJ58" s="483">
        <f t="shared" si="19"/>
        <v>70.660838472842897</v>
      </c>
      <c r="AK58" s="490">
        <v>8.9999999999999993E-3</v>
      </c>
      <c r="AM58" s="255" t="s">
        <v>744</v>
      </c>
      <c r="AN58" s="255">
        <v>0.11</v>
      </c>
      <c r="AO58" s="255">
        <v>0.104</v>
      </c>
      <c r="AP58" s="255">
        <v>7.3999999999999996E-2</v>
      </c>
      <c r="AQ58" s="255">
        <v>6.5000000000000002E-2</v>
      </c>
      <c r="AR58" s="255">
        <v>6.3E-2</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61.64</v>
      </c>
      <c r="AO59" s="5">
        <v>63.390999999999998</v>
      </c>
      <c r="AP59" s="5">
        <v>63.48</v>
      </c>
      <c r="AQ59" s="5">
        <v>59.959000000000003</v>
      </c>
      <c r="AR59" s="5">
        <v>64.313999999999993</v>
      </c>
    </row>
    <row r="60" spans="1:44" s="274" customFormat="1">
      <c r="A60" s="273" t="s">
        <v>331</v>
      </c>
      <c r="B60" s="367"/>
      <c r="C60" s="367"/>
      <c r="D60" s="367"/>
      <c r="E60" s="367">
        <f>E49/SUM(E49,E51)</f>
        <v>0.87176129454681506</v>
      </c>
      <c r="F60" s="367">
        <f t="shared" ref="F60:AJ60" si="20">F49/SUM(F49,F51)</f>
        <v>0.87962597994131297</v>
      </c>
      <c r="G60" s="324">
        <f t="shared" si="20"/>
        <v>0.93407894198387531</v>
      </c>
      <c r="H60" s="324">
        <f t="shared" si="20"/>
        <v>0.8734843108388114</v>
      </c>
      <c r="I60" s="324">
        <f t="shared" si="20"/>
        <v>0.95791202288019794</v>
      </c>
      <c r="J60" s="324">
        <f t="shared" si="20"/>
        <v>0.93658145666145542</v>
      </c>
      <c r="K60" s="324">
        <f t="shared" si="20"/>
        <v>0.94115836469479242</v>
      </c>
      <c r="L60" s="324">
        <f t="shared" si="20"/>
        <v>0.85213210024293473</v>
      </c>
      <c r="M60" s="324">
        <f t="shared" si="20"/>
        <v>0.83173257973970915</v>
      </c>
      <c r="N60" s="324">
        <f t="shared" si="20"/>
        <v>0.81000503668510748</v>
      </c>
      <c r="O60" s="324">
        <f t="shared" si="20"/>
        <v>0.79943873374905705</v>
      </c>
      <c r="P60" s="324">
        <f t="shared" si="20"/>
        <v>0.77288110812186228</v>
      </c>
      <c r="Q60" s="324">
        <f t="shared" si="20"/>
        <v>0.7653421058798654</v>
      </c>
      <c r="R60" s="324">
        <f t="shared" si="20"/>
        <v>0.7628868418484227</v>
      </c>
      <c r="S60" s="324">
        <f t="shared" si="20"/>
        <v>0.75214630266847604</v>
      </c>
      <c r="T60" s="324">
        <f t="shared" si="20"/>
        <v>0.74816198203482187</v>
      </c>
      <c r="U60" s="324">
        <f t="shared" si="20"/>
        <v>0.74642746379415226</v>
      </c>
      <c r="V60" s="324">
        <f t="shared" si="20"/>
        <v>0.73543531218485647</v>
      </c>
      <c r="W60" s="324">
        <f t="shared" si="20"/>
        <v>0.72559793044506848</v>
      </c>
      <c r="X60" s="324">
        <f t="shared" si="20"/>
        <v>0.72139280456385135</v>
      </c>
      <c r="Y60" s="324">
        <f t="shared" si="20"/>
        <v>0.7130115543167751</v>
      </c>
      <c r="Z60" s="324">
        <f t="shared" si="20"/>
        <v>0.70657625945981684</v>
      </c>
      <c r="AA60" s="324">
        <f t="shared" si="20"/>
        <v>0.70405892512339163</v>
      </c>
      <c r="AB60" s="324">
        <f t="shared" si="20"/>
        <v>0.70134180067568863</v>
      </c>
      <c r="AC60" s="324">
        <f t="shared" si="20"/>
        <v>0.69933087735514621</v>
      </c>
      <c r="AD60" s="324">
        <f t="shared" si="20"/>
        <v>0.70375358202280125</v>
      </c>
      <c r="AE60" s="324">
        <f t="shared" si="20"/>
        <v>0.69936616371327953</v>
      </c>
      <c r="AF60" s="324">
        <f t="shared" si="20"/>
        <v>0.70041481553891027</v>
      </c>
      <c r="AG60" s="324">
        <f t="shared" si="20"/>
        <v>0.6994557663269021</v>
      </c>
      <c r="AH60" s="324">
        <f t="shared" si="20"/>
        <v>0.69634971203877716</v>
      </c>
      <c r="AI60" s="324">
        <f t="shared" si="20"/>
        <v>0.6844415872989813</v>
      </c>
      <c r="AJ60" s="324">
        <f t="shared" si="20"/>
        <v>0.67710608308042808</v>
      </c>
      <c r="AK60" s="324"/>
      <c r="AL60" s="274" t="s">
        <v>0</v>
      </c>
    </row>
    <row r="61" spans="1:44" s="265" customFormat="1">
      <c r="A61" s="262" t="s">
        <v>107</v>
      </c>
      <c r="B61" s="358">
        <f>B54/B58</f>
        <v>4.7761968883336843E-2</v>
      </c>
      <c r="C61" s="358">
        <f t="shared" ref="C61:AJ61" si="21">C54/C58</f>
        <v>4.4896671399274335E-2</v>
      </c>
      <c r="D61" s="358">
        <f t="shared" si="21"/>
        <v>5.3087586641461883E-2</v>
      </c>
      <c r="E61" s="358">
        <f t="shared" si="21"/>
        <v>6.2276927182360983E-2</v>
      </c>
      <c r="F61" s="358">
        <f t="shared" si="21"/>
        <v>7.1306402960475163E-2</v>
      </c>
      <c r="G61" s="309">
        <f t="shared" si="21"/>
        <v>9.1335515596287858E-2</v>
      </c>
      <c r="H61" s="309">
        <f t="shared" si="21"/>
        <v>9.3400197845166802E-2</v>
      </c>
      <c r="I61" s="309">
        <f t="shared" si="21"/>
        <v>8.6207088478749777E-2</v>
      </c>
      <c r="J61" s="309">
        <f t="shared" si="21"/>
        <v>8.9346178433186707E-2</v>
      </c>
      <c r="K61" s="309">
        <f t="shared" si="21"/>
        <v>9.2472694577831444E-2</v>
      </c>
      <c r="L61" s="309">
        <f t="shared" si="21"/>
        <v>9.7115698832052996E-2</v>
      </c>
      <c r="M61" s="309">
        <f t="shared" si="21"/>
        <v>9.6603962708795565E-2</v>
      </c>
      <c r="N61" s="309">
        <f t="shared" si="21"/>
        <v>0.10000902596761936</v>
      </c>
      <c r="O61" s="309">
        <f t="shared" si="21"/>
        <v>9.9351692697134564E-2</v>
      </c>
      <c r="P61" s="309">
        <f t="shared" si="21"/>
        <v>0.10328089227834901</v>
      </c>
      <c r="Q61" s="309">
        <f t="shared" si="21"/>
        <v>0.10334830568478906</v>
      </c>
      <c r="R61" s="309">
        <f t="shared" si="21"/>
        <v>0.10437505833499404</v>
      </c>
      <c r="S61" s="309">
        <f t="shared" si="21"/>
        <v>0.10351485798464619</v>
      </c>
      <c r="T61" s="309">
        <f t="shared" si="21"/>
        <v>0.10448469679141406</v>
      </c>
      <c r="U61" s="309">
        <f t="shared" si="21"/>
        <v>0.10494754604849499</v>
      </c>
      <c r="V61" s="309">
        <f t="shared" si="21"/>
        <v>0.10445769734547933</v>
      </c>
      <c r="W61" s="309">
        <f t="shared" si="21"/>
        <v>0.10571696913159952</v>
      </c>
      <c r="X61" s="309">
        <f t="shared" si="21"/>
        <v>0.10602728015042107</v>
      </c>
      <c r="Y61" s="309">
        <f t="shared" si="21"/>
        <v>0.10567137009087171</v>
      </c>
      <c r="Z61" s="309">
        <f t="shared" si="21"/>
        <v>0.10588306887975718</v>
      </c>
      <c r="AA61" s="309">
        <f t="shared" si="21"/>
        <v>0.10625993376094399</v>
      </c>
      <c r="AB61" s="309">
        <f t="shared" si="21"/>
        <v>0.10680157255409151</v>
      </c>
      <c r="AC61" s="309">
        <f t="shared" si="21"/>
        <v>0.1074455588447535</v>
      </c>
      <c r="AD61" s="309">
        <f t="shared" si="21"/>
        <v>0.10900521421210274</v>
      </c>
      <c r="AE61" s="309">
        <f t="shared" si="21"/>
        <v>0.10931557115505354</v>
      </c>
      <c r="AF61" s="309">
        <f t="shared" si="21"/>
        <v>0.11037387219940813</v>
      </c>
      <c r="AG61" s="309">
        <f t="shared" si="21"/>
        <v>0.11109652576800688</v>
      </c>
      <c r="AH61" s="309">
        <f t="shared" si="21"/>
        <v>0.11154593878814435</v>
      </c>
      <c r="AI61" s="309">
        <f t="shared" si="21"/>
        <v>0.11089184228469542</v>
      </c>
      <c r="AJ61" s="309">
        <f t="shared" si="21"/>
        <v>0.11072369680079894</v>
      </c>
      <c r="AK61" s="309"/>
    </row>
    <row r="62" spans="1:44" s="275" customFormat="1">
      <c r="A62" s="264" t="s">
        <v>108</v>
      </c>
      <c r="B62" s="368">
        <f>(B54-EIA_RE_aeo2014!B73)/B56</f>
        <v>2.0522388059701489E-2</v>
      </c>
      <c r="C62" s="368">
        <f>(C54-EIA_RE_aeo2014!C73)/C56</f>
        <v>2.0980896341751987E-2</v>
      </c>
      <c r="D62" s="368">
        <f>(D54-EIA_RE_aeo2014!D73)/D56</f>
        <v>2.7630749842470072E-2</v>
      </c>
      <c r="E62" s="368">
        <f>(E54-EIA_RE_aeo2014!E73)/E56</f>
        <v>3.9026668223285911E-2</v>
      </c>
      <c r="F62" s="368">
        <f>(F54-EIA_RE_aeo2014!F73)/F56</f>
        <v>3.8467518736200523E-2</v>
      </c>
      <c r="G62" s="325">
        <f>(G54-EIA_RE_aeo2014!G73)/G56</f>
        <v>5.337429079958541E-2</v>
      </c>
      <c r="H62" s="325">
        <f>(H54-EIA_RE_aeo2014!H73)/H56</f>
        <v>6.0839996339301948E-2</v>
      </c>
      <c r="I62" s="325">
        <f>(I54-EIA_RE_aeo2014!I73)/I56</f>
        <v>5.5630205299842979E-2</v>
      </c>
      <c r="J62" s="325">
        <f>(J54-EIA_RE_aeo2014!J73)/J56</f>
        <v>5.9210582549363462E-2</v>
      </c>
      <c r="K62" s="325">
        <f>(K54-EIA_RE_aeo2014!K73)/K56</f>
        <v>6.1301447739179102E-2</v>
      </c>
      <c r="L62" s="325">
        <f>(L54-EIA_RE_aeo2014!L73)/L56</f>
        <v>6.5741352222529553E-2</v>
      </c>
      <c r="M62" s="325">
        <f>(M54-EIA_RE_aeo2014!M73)/M56</f>
        <v>6.593944063006503E-2</v>
      </c>
      <c r="N62" s="325">
        <f>(N54-EIA_RE_aeo2014!N73)/N56</f>
        <v>6.8665778476027881E-2</v>
      </c>
      <c r="O62" s="325">
        <f>(O54-EIA_RE_aeo2014!O73)/O56</f>
        <v>6.9122584977907783E-2</v>
      </c>
      <c r="P62" s="325">
        <f>(P54-EIA_RE_aeo2014!P73)/P56</f>
        <v>7.2357241003052838E-2</v>
      </c>
      <c r="Q62" s="325">
        <f>(Q54-EIA_RE_aeo2014!Q73)/Q56</f>
        <v>7.3223720726762628E-2</v>
      </c>
      <c r="R62" s="325">
        <f>(R54-EIA_RE_aeo2014!R73)/R56</f>
        <v>7.4765547092463122E-2</v>
      </c>
      <c r="S62" s="325">
        <f>(S54-EIA_RE_aeo2014!S73)/S56</f>
        <v>7.4992861515676107E-2</v>
      </c>
      <c r="T62" s="325">
        <f>(T54-EIA_RE_aeo2014!T73)/T56</f>
        <v>7.6695800573979248E-2</v>
      </c>
      <c r="U62" s="325">
        <f>(U54-EIA_RE_aeo2014!U73)/U56</f>
        <v>7.7534097700500487E-2</v>
      </c>
      <c r="V62" s="325">
        <f>(V54-EIA_RE_aeo2014!V73)/V56</f>
        <v>7.7968885290515724E-2</v>
      </c>
      <c r="W62" s="325">
        <f>(W54-EIA_RE_aeo2014!W73)/W56</f>
        <v>7.8330563862231709E-2</v>
      </c>
      <c r="X62" s="325">
        <f>(X54-EIA_RE_aeo2014!X73)/X56</f>
        <v>7.9009366946014264E-2</v>
      </c>
      <c r="Y62" s="325">
        <f>(Y54-EIA_RE_aeo2014!Y73)/Y56</f>
        <v>7.9410028174597275E-2</v>
      </c>
      <c r="Z62" s="325">
        <f>(Z54-EIA_RE_aeo2014!Z73)/Z56</f>
        <v>8.00859452494736E-2</v>
      </c>
      <c r="AA62" s="325">
        <f>(AA54-EIA_RE_aeo2014!AK73)/AA56</f>
        <v>0.11720801676002165</v>
      </c>
      <c r="AB62" s="325">
        <f>(AB54-EIA_RE_aeo2014!AL73)/AB56</f>
        <v>0.11801003292655514</v>
      </c>
      <c r="AC62" s="325">
        <f>(AC54-EIA_RE_aeo2014!AM73)/AC56</f>
        <v>0.11891766326084943</v>
      </c>
      <c r="AD62" s="325">
        <f>(AD54-EIA_RE_aeo2014!AN73)/AD56</f>
        <v>9.3302298767501388E-2</v>
      </c>
      <c r="AE62" s="325">
        <f>(AE54-EIA_RE_aeo2014!AO73)/AE56</f>
        <v>9.6677723424129364E-2</v>
      </c>
      <c r="AF62" s="325">
        <f>(AF54-EIA_RE_aeo2014!AP73)/AF56</f>
        <v>9.6232729177824813E-2</v>
      </c>
      <c r="AG62" s="325">
        <f>(AG54-EIA_RE_aeo2014!AQ73)/AG56</f>
        <v>0.1007366870820738</v>
      </c>
      <c r="AH62" s="325">
        <f>(AH54-EIA_RE_aeo2014!AR73)/AH56</f>
        <v>8.9956763954269589E-2</v>
      </c>
      <c r="AI62" s="325">
        <f>(AI54-EIA_RE_aeo2014!AS73)/AI56</f>
        <v>0.12403047250689349</v>
      </c>
      <c r="AJ62" s="325">
        <f>(AJ54-EIA_RE_aeo2014!AT73)/AJ56</f>
        <v>0.12431108274641817</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1.6250262984654864</v>
      </c>
      <c r="H64" s="481">
        <f t="shared" ref="H64:O64" si="22">H63/1000/H58</f>
        <v>2.639599171867216</v>
      </c>
      <c r="I64" s="481">
        <f t="shared" si="22"/>
        <v>3.8850332734460165</v>
      </c>
      <c r="J64" s="481">
        <f t="shared" si="22"/>
        <v>4.8925821980111381</v>
      </c>
      <c r="K64" s="481">
        <f t="shared" si="22"/>
        <v>5.8993563447098412</v>
      </c>
      <c r="L64" s="481">
        <f t="shared" si="22"/>
        <v>7.0088205941131543</v>
      </c>
      <c r="M64" s="481">
        <f t="shared" si="22"/>
        <v>8.0131293514603819</v>
      </c>
      <c r="N64" s="481">
        <f t="shared" si="22"/>
        <v>9.306161384501527</v>
      </c>
      <c r="O64" s="481">
        <f t="shared" si="22"/>
        <v>10.267337822806514</v>
      </c>
      <c r="P64" s="481">
        <f t="shared" ref="P64" si="23">P63/1000/P58</f>
        <v>11.612992328559269</v>
      </c>
      <c r="Q64" s="481">
        <f t="shared" ref="Q64" si="24">Q63/1000/Q58</f>
        <v>12.655291105749322</v>
      </c>
      <c r="R64" s="481">
        <f t="shared" ref="R64" si="25">R63/1000/R58</f>
        <v>13.778635861732445</v>
      </c>
      <c r="S64" s="481">
        <f t="shared" ref="S64" si="26">S63/1000/S58</f>
        <v>14.769441380099146</v>
      </c>
      <c r="T64" s="481">
        <f t="shared" ref="T64" si="27">T63/1000/T58</f>
        <v>15.841306966527869</v>
      </c>
      <c r="U64" s="481">
        <f t="shared" ref="U64" si="28">U63/1000/U58</f>
        <v>16.966427138273268</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0.62434243332541239</v>
      </c>
      <c r="I65" s="481">
        <f t="shared" si="29"/>
        <v>0.47182697844907928</v>
      </c>
      <c r="J65" s="481">
        <f t="shared" si="29"/>
        <v>0.25934113137502884</v>
      </c>
      <c r="K65" s="481">
        <f t="shared" si="29"/>
        <v>0.20577562235090549</v>
      </c>
      <c r="L65" s="481">
        <f t="shared" si="29"/>
        <v>0.1880653048528266</v>
      </c>
      <c r="M65" s="481">
        <f t="shared" si="29"/>
        <v>0.1432921193889263</v>
      </c>
      <c r="N65" s="481">
        <f t="shared" si="29"/>
        <v>0.16136417825396662</v>
      </c>
      <c r="O65" s="481">
        <f t="shared" si="29"/>
        <v>0.10328387813107662</v>
      </c>
      <c r="P65" s="481">
        <f t="shared" si="29"/>
        <v>0.13106167625688667</v>
      </c>
      <c r="Q65" s="481">
        <f t="shared" si="29"/>
        <v>8.9752817163822496E-2</v>
      </c>
      <c r="R65" s="481">
        <f t="shared" si="29"/>
        <v>8.8764829397941308E-2</v>
      </c>
      <c r="S65" s="481">
        <f t="shared" si="29"/>
        <v>7.1908825250145081E-2</v>
      </c>
      <c r="T65" s="481">
        <f t="shared" si="29"/>
        <v>7.2573197512601384E-2</v>
      </c>
      <c r="U65" s="481">
        <f t="shared" si="29"/>
        <v>7.1024453608704061E-2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0.19847823618163823</v>
      </c>
      <c r="C66" s="369">
        <f t="shared" ref="C66:AJ66" si="30">C52/C58</f>
        <v>0.20365988326234422</v>
      </c>
      <c r="D66" s="369">
        <f t="shared" si="30"/>
        <v>0.19147763074984248</v>
      </c>
      <c r="E66" s="369">
        <f t="shared" si="30"/>
        <v>0.21153140531705525</v>
      </c>
      <c r="F66" s="369">
        <f t="shared" si="30"/>
        <v>0.20650247224554527</v>
      </c>
      <c r="G66" s="326">
        <f t="shared" si="30"/>
        <v>0.18182928387869077</v>
      </c>
      <c r="H66" s="326">
        <f t="shared" si="30"/>
        <v>0.17197365549937596</v>
      </c>
      <c r="I66" s="326">
        <f t="shared" si="30"/>
        <v>0.1736544825042772</v>
      </c>
      <c r="J66" s="326">
        <f t="shared" si="30"/>
        <v>0.17032716013528859</v>
      </c>
      <c r="K66" s="326">
        <f t="shared" si="30"/>
        <v>0.17110745889318785</v>
      </c>
      <c r="L66" s="326">
        <f t="shared" si="30"/>
        <v>0.14697501326158707</v>
      </c>
      <c r="M66" s="326">
        <f t="shared" si="30"/>
        <v>0.15819822703175826</v>
      </c>
      <c r="N66" s="326">
        <f t="shared" si="30"/>
        <v>0.10600362678400037</v>
      </c>
      <c r="O66" s="326">
        <f t="shared" si="30"/>
        <v>0.10399916698682658</v>
      </c>
      <c r="P66" s="326">
        <f t="shared" si="30"/>
        <v>5.1434905503863544E-2</v>
      </c>
      <c r="Q66" s="326">
        <f t="shared" si="30"/>
        <v>5.0836016731069543E-2</v>
      </c>
      <c r="R66" s="326">
        <f t="shared" si="30"/>
        <v>5.0496050334082103E-2</v>
      </c>
      <c r="S66" s="326">
        <f t="shared" si="30"/>
        <v>4.9608062968001201E-2</v>
      </c>
      <c r="T66" s="326">
        <f t="shared" si="30"/>
        <v>4.9097180947671411E-2</v>
      </c>
      <c r="U66" s="326">
        <f t="shared" si="30"/>
        <v>4.8845104675672962E-2</v>
      </c>
      <c r="V66" s="326">
        <f t="shared" si="30"/>
        <v>4.8177677720188959E-2</v>
      </c>
      <c r="W66" s="326">
        <f t="shared" si="30"/>
        <v>4.7572980483678265E-2</v>
      </c>
      <c r="X66" s="326">
        <f t="shared" si="30"/>
        <v>4.7382713753038964E-2</v>
      </c>
      <c r="Y66" s="326">
        <f t="shared" si="30"/>
        <v>4.6858690520584861E-2</v>
      </c>
      <c r="Z66" s="326">
        <f t="shared" si="30"/>
        <v>4.6438603160257365E-2</v>
      </c>
      <c r="AA66" s="326">
        <f t="shared" si="30"/>
        <v>4.6272067736894844E-2</v>
      </c>
      <c r="AB66" s="326">
        <f t="shared" si="30"/>
        <v>4.6112701809875659E-2</v>
      </c>
      <c r="AC66" s="326">
        <f t="shared" si="30"/>
        <v>4.5977810404042571E-2</v>
      </c>
      <c r="AD66" s="326">
        <f t="shared" si="30"/>
        <v>4.6212252510590822E-2</v>
      </c>
      <c r="AE66" s="326">
        <f t="shared" si="30"/>
        <v>4.5953308806960434E-2</v>
      </c>
      <c r="AF66" s="326">
        <f t="shared" si="30"/>
        <v>4.6000367942838606E-2</v>
      </c>
      <c r="AG66" s="326">
        <f t="shared" si="30"/>
        <v>4.5941534647435125E-2</v>
      </c>
      <c r="AH66" s="326">
        <f t="shared" si="30"/>
        <v>4.5765674986975931E-2</v>
      </c>
      <c r="AI66" s="326">
        <f t="shared" si="30"/>
        <v>4.5094870722883734E-2</v>
      </c>
      <c r="AJ66" s="326">
        <f t="shared" si="30"/>
        <v>4.467919243858616E-2</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1" t="s">
        <v>632</v>
      </c>
      <c r="B109" s="561"/>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row>
    <row r="110" spans="1:38">
      <c r="A110" s="560" t="s">
        <v>633</v>
      </c>
      <c r="B110" s="560"/>
      <c r="C110" s="560"/>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0"/>
      <c r="AD110" s="560"/>
      <c r="AE110" s="560"/>
      <c r="AF110" s="560"/>
    </row>
    <row r="111" spans="1:38">
      <c r="A111" s="560" t="s">
        <v>634</v>
      </c>
      <c r="B111" s="560"/>
      <c r="C111" s="560"/>
      <c r="D111" s="560"/>
      <c r="E111" s="560"/>
      <c r="F111" s="560"/>
      <c r="G111" s="560"/>
      <c r="H111" s="560"/>
      <c r="I111" s="560"/>
      <c r="J111" s="560"/>
      <c r="K111" s="560"/>
      <c r="L111" s="560"/>
      <c r="M111" s="560"/>
      <c r="N111" s="560"/>
      <c r="O111" s="560"/>
      <c r="P111" s="560"/>
      <c r="Q111" s="560"/>
      <c r="R111" s="560"/>
      <c r="S111" s="560"/>
      <c r="T111" s="560"/>
      <c r="U111" s="560"/>
      <c r="V111" s="560"/>
      <c r="W111" s="560"/>
      <c r="X111" s="560"/>
      <c r="Y111" s="560"/>
      <c r="Z111" s="560"/>
      <c r="AA111" s="560"/>
      <c r="AB111" s="560"/>
      <c r="AC111" s="560"/>
      <c r="AD111" s="560"/>
      <c r="AE111" s="560"/>
      <c r="AF111" s="560"/>
    </row>
    <row r="112" spans="1:38">
      <c r="A112" s="560" t="s">
        <v>635</v>
      </c>
      <c r="B112" s="560"/>
      <c r="C112" s="560"/>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row>
    <row r="113" spans="1:32">
      <c r="A113" s="560" t="s">
        <v>636</v>
      </c>
      <c r="B113" s="560"/>
      <c r="C113" s="560"/>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row>
    <row r="114" spans="1:32">
      <c r="A114" s="560" t="s">
        <v>637</v>
      </c>
      <c r="B114" s="560"/>
      <c r="C114" s="560"/>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row>
    <row r="115" spans="1:32">
      <c r="A115" s="560" t="s">
        <v>638</v>
      </c>
      <c r="B115" s="560"/>
      <c r="C115" s="560"/>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560"/>
      <c r="AD115" s="560"/>
      <c r="AE115" s="560"/>
      <c r="AF115" s="560"/>
    </row>
    <row r="116" spans="1:32">
      <c r="A116" s="560" t="s">
        <v>639</v>
      </c>
      <c r="B116" s="560"/>
      <c r="C116" s="560"/>
      <c r="D116" s="560"/>
      <c r="E116" s="560"/>
      <c r="F116" s="560"/>
      <c r="G116" s="560"/>
      <c r="H116" s="560"/>
      <c r="I116" s="560"/>
      <c r="J116" s="560"/>
      <c r="K116" s="560"/>
      <c r="L116" s="560"/>
      <c r="M116" s="560"/>
      <c r="N116" s="560"/>
      <c r="O116" s="560"/>
      <c r="P116" s="560"/>
      <c r="Q116" s="560"/>
      <c r="R116" s="560"/>
      <c r="S116" s="560"/>
      <c r="T116" s="560"/>
      <c r="U116" s="560"/>
      <c r="V116" s="560"/>
      <c r="W116" s="560"/>
      <c r="X116" s="560"/>
      <c r="Y116" s="560"/>
      <c r="Z116" s="560"/>
      <c r="AA116" s="560"/>
      <c r="AB116" s="560"/>
      <c r="AC116" s="560"/>
      <c r="AD116" s="560"/>
      <c r="AE116" s="560"/>
      <c r="AF116" s="560"/>
    </row>
    <row r="117" spans="1:32">
      <c r="A117" s="560" t="s">
        <v>640</v>
      </c>
      <c r="B117" s="560"/>
      <c r="C117" s="560"/>
      <c r="D117" s="560"/>
      <c r="E117" s="560"/>
      <c r="F117" s="560"/>
      <c r="G117" s="560"/>
      <c r="H117" s="560"/>
      <c r="I117" s="560"/>
      <c r="J117" s="560"/>
      <c r="K117" s="560"/>
      <c r="L117" s="560"/>
      <c r="M117" s="560"/>
      <c r="N117" s="560"/>
      <c r="O117" s="560"/>
      <c r="P117" s="560"/>
      <c r="Q117" s="560"/>
      <c r="R117" s="560"/>
      <c r="S117" s="560"/>
      <c r="T117" s="560"/>
      <c r="U117" s="560"/>
      <c r="V117" s="560"/>
      <c r="W117" s="560"/>
      <c r="X117" s="560"/>
      <c r="Y117" s="560"/>
      <c r="Z117" s="560"/>
      <c r="AA117" s="560"/>
      <c r="AB117" s="560"/>
      <c r="AC117" s="560"/>
      <c r="AD117" s="560"/>
      <c r="AE117" s="560"/>
      <c r="AF117" s="560"/>
    </row>
    <row r="118" spans="1:32">
      <c r="A118" s="560" t="s">
        <v>641</v>
      </c>
      <c r="B118" s="560"/>
      <c r="C118" s="560"/>
      <c r="D118" s="560"/>
      <c r="E118" s="560"/>
      <c r="F118" s="560"/>
      <c r="G118" s="560"/>
      <c r="H118" s="560"/>
      <c r="I118" s="560"/>
      <c r="J118" s="560"/>
      <c r="K118" s="560"/>
      <c r="L118" s="560"/>
      <c r="M118" s="560"/>
      <c r="N118" s="560"/>
      <c r="O118" s="560"/>
      <c r="P118" s="560"/>
      <c r="Q118" s="560"/>
      <c r="R118" s="560"/>
      <c r="S118" s="560"/>
      <c r="T118" s="560"/>
      <c r="U118" s="560"/>
      <c r="V118" s="560"/>
      <c r="W118" s="560"/>
      <c r="X118" s="560"/>
      <c r="Y118" s="560"/>
      <c r="Z118" s="560"/>
      <c r="AA118" s="560"/>
      <c r="AB118" s="560"/>
      <c r="AC118" s="560"/>
      <c r="AD118" s="560"/>
      <c r="AE118" s="560"/>
      <c r="AF118" s="560"/>
    </row>
    <row r="119" spans="1:32">
      <c r="A119" s="560" t="s">
        <v>642</v>
      </c>
      <c r="B119" s="560"/>
      <c r="C119" s="560"/>
      <c r="D119" s="560"/>
      <c r="E119" s="560"/>
      <c r="F119" s="560"/>
      <c r="G119" s="560"/>
      <c r="H119" s="560"/>
      <c r="I119" s="560"/>
      <c r="J119" s="560"/>
      <c r="K119" s="560"/>
      <c r="L119" s="560"/>
      <c r="M119" s="560"/>
      <c r="N119" s="560"/>
      <c r="O119" s="560"/>
      <c r="P119" s="560"/>
      <c r="Q119" s="560"/>
      <c r="R119" s="560"/>
      <c r="S119" s="560"/>
      <c r="T119" s="560"/>
      <c r="U119" s="560"/>
      <c r="V119" s="560"/>
      <c r="W119" s="560"/>
      <c r="X119" s="560"/>
      <c r="Y119" s="560"/>
      <c r="Z119" s="560"/>
      <c r="AA119" s="560"/>
      <c r="AB119" s="560"/>
      <c r="AC119" s="560"/>
      <c r="AD119" s="560"/>
      <c r="AE119" s="560"/>
      <c r="AF119" s="560"/>
    </row>
    <row r="120" spans="1:32">
      <c r="A120" s="560" t="s">
        <v>643</v>
      </c>
      <c r="B120" s="560"/>
      <c r="C120" s="560"/>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60"/>
      <c r="AE120" s="560"/>
      <c r="AF120" s="560"/>
    </row>
    <row r="121" spans="1:32">
      <c r="A121" s="560" t="s">
        <v>644</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60"/>
    </row>
    <row r="122" spans="1:32">
      <c r="A122" s="560" t="s">
        <v>645</v>
      </c>
      <c r="B122" s="560"/>
      <c r="C122" s="560"/>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560"/>
      <c r="AD122" s="560"/>
      <c r="AE122" s="560"/>
      <c r="AF122" s="560"/>
    </row>
    <row r="123" spans="1:32">
      <c r="A123" s="560" t="s">
        <v>646</v>
      </c>
      <c r="B123" s="560"/>
      <c r="C123" s="560"/>
      <c r="D123" s="560"/>
      <c r="E123" s="560"/>
      <c r="F123" s="560"/>
      <c r="G123" s="560"/>
      <c r="H123" s="560"/>
      <c r="I123" s="560"/>
      <c r="J123" s="560"/>
      <c r="K123" s="560"/>
      <c r="L123" s="560"/>
      <c r="M123" s="560"/>
      <c r="N123" s="560"/>
      <c r="O123" s="560"/>
      <c r="P123" s="560"/>
      <c r="Q123" s="560"/>
      <c r="R123" s="560"/>
      <c r="S123" s="560"/>
      <c r="T123" s="560"/>
      <c r="U123" s="560"/>
      <c r="V123" s="560"/>
      <c r="W123" s="560"/>
      <c r="X123" s="560"/>
      <c r="Y123" s="560"/>
      <c r="Z123" s="560"/>
      <c r="AA123" s="560"/>
      <c r="AB123" s="560"/>
      <c r="AC123" s="560"/>
      <c r="AD123" s="560"/>
      <c r="AE123" s="560"/>
      <c r="AF123" s="560"/>
    </row>
    <row r="124" spans="1:32">
      <c r="A124" s="560" t="s">
        <v>647</v>
      </c>
      <c r="B124" s="560"/>
      <c r="C124" s="560"/>
      <c r="D124" s="560"/>
      <c r="E124" s="560"/>
      <c r="F124" s="560"/>
      <c r="G124" s="560"/>
      <c r="H124" s="560"/>
      <c r="I124" s="560"/>
      <c r="J124" s="560"/>
      <c r="K124" s="560"/>
      <c r="L124" s="560"/>
      <c r="M124" s="560"/>
      <c r="N124" s="560"/>
      <c r="O124" s="560"/>
      <c r="P124" s="560"/>
      <c r="Q124" s="560"/>
      <c r="R124" s="560"/>
      <c r="S124" s="560"/>
      <c r="T124" s="560"/>
      <c r="U124" s="560"/>
      <c r="V124" s="560"/>
      <c r="W124" s="560"/>
      <c r="X124" s="560"/>
      <c r="Y124" s="560"/>
      <c r="Z124" s="560"/>
      <c r="AA124" s="560"/>
      <c r="AB124" s="560"/>
      <c r="AC124" s="560"/>
      <c r="AD124" s="560"/>
      <c r="AE124" s="560"/>
      <c r="AF124" s="560"/>
    </row>
    <row r="125" spans="1:32">
      <c r="A125" s="560" t="s">
        <v>640</v>
      </c>
      <c r="B125" s="560"/>
      <c r="C125" s="560"/>
      <c r="D125" s="560"/>
      <c r="E125" s="560"/>
      <c r="F125" s="560"/>
      <c r="G125" s="560"/>
      <c r="H125" s="560"/>
      <c r="I125" s="560"/>
      <c r="J125" s="560"/>
      <c r="K125" s="560"/>
      <c r="L125" s="560"/>
      <c r="M125" s="560"/>
      <c r="N125" s="560"/>
      <c r="O125" s="560"/>
      <c r="P125" s="560"/>
      <c r="Q125" s="560"/>
      <c r="R125" s="560"/>
      <c r="S125" s="560"/>
      <c r="T125" s="560"/>
      <c r="U125" s="560"/>
      <c r="V125" s="560"/>
      <c r="W125" s="560"/>
      <c r="X125" s="560"/>
      <c r="Y125" s="560"/>
      <c r="Z125" s="560"/>
      <c r="AA125" s="560"/>
      <c r="AB125" s="560"/>
      <c r="AC125" s="560"/>
      <c r="AD125" s="560"/>
      <c r="AE125" s="560"/>
      <c r="AF125" s="560"/>
    </row>
    <row r="126" spans="1:32">
      <c r="A126" s="560" t="s">
        <v>648</v>
      </c>
      <c r="B126" s="560"/>
      <c r="C126" s="560"/>
      <c r="D126" s="560"/>
      <c r="E126" s="560"/>
      <c r="F126" s="560"/>
      <c r="G126" s="560"/>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row>
    <row r="127" spans="1:32">
      <c r="A127" s="560" t="s">
        <v>649</v>
      </c>
      <c r="B127" s="560"/>
      <c r="C127" s="560"/>
      <c r="D127" s="560"/>
      <c r="E127" s="560"/>
      <c r="F127" s="560"/>
      <c r="G127" s="560"/>
      <c r="H127" s="560"/>
      <c r="I127" s="560"/>
      <c r="J127" s="560"/>
      <c r="K127" s="560"/>
      <c r="L127" s="560"/>
      <c r="M127" s="560"/>
      <c r="N127" s="560"/>
      <c r="O127" s="560"/>
      <c r="P127" s="560"/>
      <c r="Q127" s="560"/>
      <c r="R127" s="560"/>
      <c r="S127" s="560"/>
      <c r="T127" s="560"/>
      <c r="U127" s="560"/>
      <c r="V127" s="560"/>
      <c r="W127" s="560"/>
      <c r="X127" s="560"/>
      <c r="Y127" s="560"/>
      <c r="Z127" s="560"/>
      <c r="AA127" s="560"/>
      <c r="AB127" s="560"/>
      <c r="AC127" s="560"/>
      <c r="AD127" s="560"/>
      <c r="AE127" s="560"/>
      <c r="AF127" s="560"/>
    </row>
    <row r="128" spans="1:32">
      <c r="A128" s="560" t="s">
        <v>650</v>
      </c>
      <c r="B128" s="560"/>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0"/>
    </row>
    <row r="129" spans="1:32">
      <c r="A129" s="560" t="s">
        <v>620</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row>
    <row r="130" spans="1:32">
      <c r="A130" s="560" t="s">
        <v>621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row>
    <row r="131" spans="1:32">
      <c r="A131" s="560" t="s">
        <v>622</v>
      </c>
      <c r="B131" s="560"/>
      <c r="C131" s="560"/>
      <c r="D131" s="560"/>
      <c r="E131" s="560"/>
      <c r="F131" s="560"/>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row>
    <row r="132" spans="1:32">
      <c r="A132" s="560" t="s">
        <v>651</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row>
    <row r="133" spans="1:32">
      <c r="A133" s="560" t="s">
        <v>652</v>
      </c>
      <c r="B133" s="560"/>
      <c r="C133" s="560"/>
      <c r="D133" s="560"/>
      <c r="E133" s="560"/>
      <c r="F133" s="560"/>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row>
    <row r="134" spans="1:32">
      <c r="A134" s="560" t="s">
        <v>653</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row>
    <row r="135" spans="1:32">
      <c r="A135" s="560" t="s">
        <v>654</v>
      </c>
      <c r="B135" s="560"/>
      <c r="C135" s="560"/>
      <c r="D135" s="560"/>
      <c r="E135" s="560"/>
      <c r="F135" s="560"/>
      <c r="G135" s="560"/>
      <c r="H135" s="560"/>
      <c r="I135" s="560"/>
      <c r="J135" s="560"/>
      <c r="K135" s="560"/>
      <c r="L135" s="560"/>
      <c r="M135" s="560"/>
      <c r="N135" s="560"/>
      <c r="O135" s="560"/>
      <c r="P135" s="560"/>
      <c r="Q135" s="560"/>
      <c r="R135" s="560"/>
      <c r="S135" s="560"/>
      <c r="T135" s="560"/>
      <c r="U135" s="560"/>
      <c r="V135" s="560"/>
      <c r="W135" s="560"/>
      <c r="X135" s="560"/>
      <c r="Y135" s="560"/>
      <c r="Z135" s="560"/>
      <c r="AA135" s="560"/>
      <c r="AB135" s="560"/>
      <c r="AC135" s="560"/>
      <c r="AD135" s="560"/>
      <c r="AE135" s="560"/>
      <c r="AF135" s="560"/>
    </row>
    <row r="136" spans="1:32">
      <c r="A136" s="560" t="s">
        <v>655</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row>
    <row r="137" spans="1:32">
      <c r="A137" s="560" t="s">
        <v>656</v>
      </c>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c r="Z137" s="560"/>
      <c r="AA137" s="560"/>
      <c r="AB137" s="560"/>
      <c r="AC137" s="560"/>
      <c r="AD137" s="560"/>
      <c r="AE137" s="560"/>
      <c r="AF137" s="560"/>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6" zoomScale="125" zoomScaleNormal="125" zoomScalePageLayoutView="125" workbookViewId="0">
      <selection activeCell="AM61" sqref="AM61"/>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705</v>
      </c>
    </row>
    <row r="3" spans="1:37">
      <c r="A3" s="272" t="s">
        <v>657</v>
      </c>
    </row>
    <row r="4" spans="1:37">
      <c r="A4" s="272" t="s">
        <v>658</v>
      </c>
    </row>
    <row r="6" spans="1:37">
      <c r="A6" s="6" t="s">
        <v>5</v>
      </c>
    </row>
    <row r="7" spans="1:37">
      <c r="A7" s="6" t="s">
        <v>6</v>
      </c>
    </row>
    <row r="8" spans="1:37">
      <c r="A8" s="78" t="s">
        <v>281</v>
      </c>
    </row>
    <row r="10" spans="1:37">
      <c r="AK10" s="300" t="s">
        <v>715</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582</v>
      </c>
      <c r="AB11" s="300" t="s">
        <v>583</v>
      </c>
      <c r="AC11" s="300" t="s">
        <v>584</v>
      </c>
      <c r="AD11" s="300" t="s">
        <v>585</v>
      </c>
      <c r="AE11" s="300" t="s">
        <v>586</v>
      </c>
      <c r="AF11" s="300" t="s">
        <v>587</v>
      </c>
      <c r="AG11" s="300" t="s">
        <v>588</v>
      </c>
      <c r="AH11" s="300" t="s">
        <v>589</v>
      </c>
      <c r="AI11" s="300" t="s">
        <v>590</v>
      </c>
      <c r="AJ11" s="300" t="s">
        <v>591</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1E-4</v>
      </c>
      <c r="H33" s="499">
        <v>1E-4</v>
      </c>
      <c r="I33" s="499">
        <v>1E-4</v>
      </c>
      <c r="J33" s="499">
        <v>1E-4</v>
      </c>
      <c r="K33" s="499">
        <v>1E-4</v>
      </c>
      <c r="L33" s="499">
        <v>1E-4</v>
      </c>
      <c r="M33" s="499">
        <v>1E-4</v>
      </c>
      <c r="N33" s="499">
        <v>1E-4</v>
      </c>
      <c r="O33" s="499">
        <v>1E-4</v>
      </c>
      <c r="P33" s="499">
        <v>1E-4</v>
      </c>
      <c r="Q33" s="499">
        <v>1E-4</v>
      </c>
      <c r="R33" s="499">
        <v>1E-4</v>
      </c>
      <c r="S33" s="499">
        <v>1E-4</v>
      </c>
      <c r="T33" s="499">
        <v>1E-4</v>
      </c>
      <c r="U33" s="499">
        <v>1E-4</v>
      </c>
      <c r="V33" s="499">
        <v>1E-4</v>
      </c>
      <c r="W33" s="499">
        <v>1E-4</v>
      </c>
      <c r="X33" s="499">
        <v>1E-4</v>
      </c>
      <c r="Y33" s="499">
        <v>1E-4</v>
      </c>
      <c r="Z33" s="499">
        <v>1E-4</v>
      </c>
      <c r="AA33" s="499">
        <v>1E-4</v>
      </c>
      <c r="AB33" s="499">
        <v>1E-4</v>
      </c>
      <c r="AC33" s="499">
        <v>1E-4</v>
      </c>
      <c r="AD33" s="499">
        <v>1E-4</v>
      </c>
      <c r="AE33" s="499">
        <v>1E-4</v>
      </c>
      <c r="AF33" s="499">
        <v>1E-4</v>
      </c>
      <c r="AG33" s="499">
        <v>1E-4</v>
      </c>
      <c r="AH33" s="499">
        <v>1E-4</v>
      </c>
      <c r="AI33" s="499">
        <v>1E-4</v>
      </c>
      <c r="AJ33" s="499">
        <v>1E-4</v>
      </c>
      <c r="AK33"/>
    </row>
    <row r="34" spans="1:39" s="18" customFormat="1">
      <c r="A34" s="17" t="s">
        <v>662</v>
      </c>
      <c r="B34"/>
      <c r="C34"/>
      <c r="D34"/>
      <c r="E34"/>
      <c r="F34"/>
      <c r="G34" s="499">
        <v>1E-4</v>
      </c>
      <c r="H34" s="499">
        <v>1E-4</v>
      </c>
      <c r="I34" s="499">
        <v>1E-4</v>
      </c>
      <c r="J34" s="499">
        <v>1E-4</v>
      </c>
      <c r="K34" s="499">
        <v>1E-4</v>
      </c>
      <c r="L34" s="499">
        <v>1E-4</v>
      </c>
      <c r="M34" s="499">
        <v>1E-4</v>
      </c>
      <c r="N34" s="499">
        <v>1E-4</v>
      </c>
      <c r="O34" s="499">
        <v>1E-4</v>
      </c>
      <c r="P34" s="499">
        <v>1E-4</v>
      </c>
      <c r="Q34" s="499">
        <v>1E-4</v>
      </c>
      <c r="R34" s="499">
        <v>1E-4</v>
      </c>
      <c r="S34" s="499">
        <v>1E-4</v>
      </c>
      <c r="T34" s="499">
        <v>1E-4</v>
      </c>
      <c r="U34" s="499">
        <v>1E-4</v>
      </c>
      <c r="V34" s="499">
        <v>1E-4</v>
      </c>
      <c r="W34" s="499">
        <v>1E-4</v>
      </c>
      <c r="X34" s="499">
        <v>1E-4</v>
      </c>
      <c r="Y34" s="499">
        <v>1E-4</v>
      </c>
      <c r="Z34" s="499">
        <v>1E-4</v>
      </c>
      <c r="AA34" s="499">
        <v>1E-4</v>
      </c>
      <c r="AB34" s="499">
        <v>1E-4</v>
      </c>
      <c r="AC34" s="499">
        <v>1E-4</v>
      </c>
      <c r="AD34" s="499">
        <v>1E-4</v>
      </c>
      <c r="AE34" s="499">
        <v>1E-4</v>
      </c>
      <c r="AF34" s="499">
        <v>1E-4</v>
      </c>
      <c r="AG34" s="499">
        <v>1E-4</v>
      </c>
      <c r="AH34" s="499">
        <v>1E-4</v>
      </c>
      <c r="AI34" s="499">
        <v>1E-4</v>
      </c>
      <c r="AJ34" s="499">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499">
        <v>1E-4</v>
      </c>
      <c r="H54" s="499">
        <v>1E-4</v>
      </c>
      <c r="I54" s="499">
        <v>1E-4</v>
      </c>
      <c r="J54" s="499">
        <v>1E-4</v>
      </c>
      <c r="K54" s="499">
        <v>1E-4</v>
      </c>
      <c r="L54" s="499">
        <v>1E-4</v>
      </c>
      <c r="M54" s="499">
        <v>1E-4</v>
      </c>
      <c r="N54" s="499">
        <v>1E-4</v>
      </c>
      <c r="O54" s="499">
        <v>1E-4</v>
      </c>
      <c r="P54" s="499">
        <v>1E-4</v>
      </c>
      <c r="Q54" s="499">
        <v>1E-4</v>
      </c>
      <c r="R54" s="499">
        <v>1E-4</v>
      </c>
      <c r="S54" s="499">
        <v>1E-4</v>
      </c>
      <c r="T54" s="499">
        <v>1E-4</v>
      </c>
      <c r="U54" s="499">
        <v>1E-4</v>
      </c>
      <c r="V54" s="499">
        <v>1E-4</v>
      </c>
      <c r="W54" s="499">
        <v>1E-4</v>
      </c>
      <c r="X54" s="499">
        <v>1E-4</v>
      </c>
      <c r="Y54" s="499">
        <v>1E-4</v>
      </c>
      <c r="Z54" s="499">
        <v>1E-4</v>
      </c>
      <c r="AA54" s="499">
        <v>1E-4</v>
      </c>
      <c r="AB54" s="499">
        <v>1E-4</v>
      </c>
      <c r="AC54" s="499">
        <v>1E-4</v>
      </c>
      <c r="AD54" s="499">
        <v>1E-4</v>
      </c>
      <c r="AE54" s="499">
        <v>1E-4</v>
      </c>
      <c r="AF54" s="499">
        <v>1E-4</v>
      </c>
      <c r="AG54" s="499">
        <v>1E-4</v>
      </c>
      <c r="AH54" s="499">
        <v>1E-4</v>
      </c>
      <c r="AI54" s="499">
        <v>1E-4</v>
      </c>
      <c r="AJ54" s="499">
        <v>1E-4</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746</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741</v>
      </c>
      <c r="AM59" s="18" t="s">
        <v>759</v>
      </c>
    </row>
    <row r="60" spans="1:39">
      <c r="A60" s="501" t="s">
        <v>734</v>
      </c>
      <c r="G60" s="499">
        <v>14.909055</v>
      </c>
      <c r="H60" s="499">
        <v>12.931285000000001</v>
      </c>
      <c r="I60" s="499">
        <v>10.815075</v>
      </c>
      <c r="J60" s="499">
        <v>11.049246</v>
      </c>
      <c r="K60" s="499">
        <v>11.276807999999999</v>
      </c>
      <c r="L60" s="499">
        <v>11.505815</v>
      </c>
      <c r="M60" s="499">
        <v>11.736761000000001</v>
      </c>
      <c r="N60" s="499">
        <v>11.736767</v>
      </c>
      <c r="O60" s="499">
        <v>11.736767</v>
      </c>
      <c r="P60" s="499">
        <v>11.736767</v>
      </c>
      <c r="Q60" s="499">
        <v>11.736767</v>
      </c>
      <c r="R60" s="499">
        <v>11.736767</v>
      </c>
      <c r="S60" s="499">
        <v>11.736767</v>
      </c>
      <c r="T60" s="499">
        <v>11.736767</v>
      </c>
      <c r="U60" s="499">
        <v>11.736767</v>
      </c>
      <c r="V60" s="499">
        <v>11.736767</v>
      </c>
      <c r="W60" s="499">
        <v>12.340114</v>
      </c>
      <c r="X60" s="499">
        <v>12.340114</v>
      </c>
      <c r="Y60" s="499">
        <v>12.340114</v>
      </c>
      <c r="Z60" s="499">
        <v>12.405933000000001</v>
      </c>
      <c r="AA60" s="499">
        <v>12.405933000000001</v>
      </c>
      <c r="AB60" s="499">
        <v>12.478134000000001</v>
      </c>
      <c r="AC60" s="499">
        <v>12.478134000000001</v>
      </c>
      <c r="AD60" s="499">
        <v>12.478134000000001</v>
      </c>
      <c r="AE60" s="499">
        <v>12.478134000000001</v>
      </c>
      <c r="AF60" s="499">
        <v>12.478134000000001</v>
      </c>
      <c r="AG60" s="499">
        <v>12.478134000000001</v>
      </c>
      <c r="AH60" s="499">
        <v>12.478134000000001</v>
      </c>
      <c r="AI60" s="499">
        <v>12.478134000000001</v>
      </c>
      <c r="AJ60" s="499">
        <v>12.478134000000001</v>
      </c>
      <c r="AK60" s="503">
        <v>4.0000000000000001E-3</v>
      </c>
      <c r="AL60" s="508" t="s">
        <v>728</v>
      </c>
      <c r="AM60" s="29">
        <v>9.9999999999999995E-7</v>
      </c>
    </row>
    <row r="61" spans="1:39">
      <c r="A61" s="501" t="s">
        <v>735</v>
      </c>
      <c r="G61" s="499">
        <v>1E-4</v>
      </c>
      <c r="H61" s="499">
        <v>1E-4</v>
      </c>
      <c r="I61" s="499">
        <v>1E-4</v>
      </c>
      <c r="J61" s="499">
        <v>1E-4</v>
      </c>
      <c r="K61" s="499">
        <v>1E-4</v>
      </c>
      <c r="L61" s="499">
        <v>1E-4</v>
      </c>
      <c r="M61" s="499">
        <v>1E-4</v>
      </c>
      <c r="N61" s="499">
        <v>1E-4</v>
      </c>
      <c r="O61" s="499">
        <v>1E-4</v>
      </c>
      <c r="P61" s="499">
        <v>1E-4</v>
      </c>
      <c r="Q61" s="499">
        <v>1E-4</v>
      </c>
      <c r="R61" s="499">
        <v>1E-4</v>
      </c>
      <c r="S61" s="499">
        <v>1E-4</v>
      </c>
      <c r="T61" s="499">
        <v>1E-4</v>
      </c>
      <c r="U61" s="499">
        <v>1E-4</v>
      </c>
      <c r="V61" s="499">
        <v>1E-4</v>
      </c>
      <c r="W61" s="499">
        <v>1E-4</v>
      </c>
      <c r="X61" s="499">
        <v>1E-4</v>
      </c>
      <c r="Y61" s="499">
        <v>1E-4</v>
      </c>
      <c r="Z61" s="499">
        <v>1E-4</v>
      </c>
      <c r="AA61" s="499">
        <v>1E-4</v>
      </c>
      <c r="AB61" s="499">
        <v>1E-4</v>
      </c>
      <c r="AC61" s="499">
        <v>1E-4</v>
      </c>
      <c r="AD61" s="499">
        <v>1E-4</v>
      </c>
      <c r="AE61" s="499">
        <v>1E-4</v>
      </c>
      <c r="AF61" s="499">
        <v>1E-4</v>
      </c>
      <c r="AG61" s="499">
        <v>1E-4</v>
      </c>
      <c r="AH61" s="499">
        <v>1E-4</v>
      </c>
      <c r="AI61" s="499">
        <v>1E-4</v>
      </c>
      <c r="AJ61" s="499">
        <v>1E-4</v>
      </c>
      <c r="AK61" s="499" t="s">
        <v>41</v>
      </c>
      <c r="AL61" s="508" t="s">
        <v>729</v>
      </c>
      <c r="AM61" s="29">
        <v>0.18159157303298817</v>
      </c>
    </row>
    <row r="62" spans="1:39">
      <c r="A62" s="501" t="s">
        <v>736</v>
      </c>
      <c r="G62" s="499">
        <v>1.775209</v>
      </c>
      <c r="H62" s="499">
        <v>1.9146299999999998</v>
      </c>
      <c r="I62" s="499">
        <v>0.74409800000000004</v>
      </c>
      <c r="J62" s="499">
        <v>0.80291299999999999</v>
      </c>
      <c r="K62" s="499">
        <v>0.81776599999999999</v>
      </c>
      <c r="L62" s="499">
        <v>0.81797900000000001</v>
      </c>
      <c r="M62" s="499">
        <v>0.81815899999999997</v>
      </c>
      <c r="N62" s="499">
        <v>0.81823699999999999</v>
      </c>
      <c r="O62" s="499">
        <v>0.81809300000000007</v>
      </c>
      <c r="P62" s="499">
        <v>0.81787100000000001</v>
      </c>
      <c r="Q62" s="499">
        <v>0.817743</v>
      </c>
      <c r="R62" s="499">
        <v>0.81761799999999996</v>
      </c>
      <c r="S62" s="499">
        <v>0.81747800000000004</v>
      </c>
      <c r="T62" s="499">
        <v>0.81734200000000001</v>
      </c>
      <c r="U62" s="499">
        <v>0.81720700000000002</v>
      </c>
      <c r="V62" s="499">
        <v>0.81703899999999996</v>
      </c>
      <c r="W62" s="499">
        <v>0.81685600000000003</v>
      </c>
      <c r="X62" s="499">
        <v>0.81664899999999996</v>
      </c>
      <c r="Y62" s="499">
        <v>0.81633699999999998</v>
      </c>
      <c r="Z62" s="499">
        <v>0.81569999999999998</v>
      </c>
      <c r="AA62" s="499">
        <v>0.81506500000000004</v>
      </c>
      <c r="AB62" s="499">
        <v>0.81443599999999994</v>
      </c>
      <c r="AC62" s="499">
        <v>0.81382200000000005</v>
      </c>
      <c r="AD62" s="499">
        <v>0.81324799999999997</v>
      </c>
      <c r="AE62" s="499">
        <v>0.81267800000000001</v>
      </c>
      <c r="AF62" s="499">
        <v>0.81212699999999993</v>
      </c>
      <c r="AG62" s="499">
        <v>0.81160100000000002</v>
      </c>
      <c r="AH62" s="499">
        <v>0.81105099999999997</v>
      </c>
      <c r="AI62" s="499">
        <v>0.81060200000000004</v>
      </c>
      <c r="AJ62" s="499">
        <v>0.81018199999999996</v>
      </c>
      <c r="AK62" s="503">
        <v>4.0000000000000001E-3</v>
      </c>
      <c r="AL62" s="508" t="s">
        <v>730</v>
      </c>
      <c r="AM62" s="29">
        <v>0</v>
      </c>
    </row>
    <row r="63" spans="1:39">
      <c r="A63" s="501" t="s">
        <v>737</v>
      </c>
      <c r="G63" s="499">
        <v>2.3493810000000002</v>
      </c>
      <c r="H63" s="499">
        <v>2.603402</v>
      </c>
      <c r="I63" s="499">
        <v>2.7478670000000003</v>
      </c>
      <c r="J63" s="499">
        <v>3.1163970000000001</v>
      </c>
      <c r="K63" s="499">
        <v>3.158188</v>
      </c>
      <c r="L63" s="499">
        <v>3.3551139999999999</v>
      </c>
      <c r="M63" s="499">
        <v>3.449058</v>
      </c>
      <c r="N63" s="499">
        <v>3.6791960000000001</v>
      </c>
      <c r="O63" s="499">
        <v>3.8289949999999999</v>
      </c>
      <c r="P63" s="499">
        <v>4.0644689999999999</v>
      </c>
      <c r="Q63" s="499">
        <v>4.2179120000000001</v>
      </c>
      <c r="R63" s="499">
        <v>4.4261699999999999</v>
      </c>
      <c r="S63" s="499">
        <v>4.5467300000000002</v>
      </c>
      <c r="T63" s="499">
        <v>4.800624</v>
      </c>
      <c r="U63" s="499">
        <v>4.9260549999999999</v>
      </c>
      <c r="V63" s="499">
        <v>5.046189</v>
      </c>
      <c r="W63" s="499">
        <v>5.1651989999999994</v>
      </c>
      <c r="X63" s="499">
        <v>5.2601979999999999</v>
      </c>
      <c r="Y63" s="499">
        <v>5.3672339999999998</v>
      </c>
      <c r="Z63" s="499">
        <v>5.4976099999999999</v>
      </c>
      <c r="AA63" s="499">
        <v>5.5981299999999994</v>
      </c>
      <c r="AB63" s="499">
        <v>5.6935210000000005</v>
      </c>
      <c r="AC63" s="499">
        <v>5.8199019999999999</v>
      </c>
      <c r="AD63" s="499">
        <v>5.9512400000000003</v>
      </c>
      <c r="AE63" s="499">
        <v>6.0712260000000002</v>
      </c>
      <c r="AF63" s="499">
        <v>6.197883</v>
      </c>
      <c r="AG63" s="499">
        <v>6.3079359999999998</v>
      </c>
      <c r="AH63" s="499">
        <v>6.4216420000000003</v>
      </c>
      <c r="AI63" s="499">
        <v>6.5493519999999998</v>
      </c>
      <c r="AJ63" s="499">
        <v>6.6573149999999996</v>
      </c>
      <c r="AK63" s="503">
        <v>1.7999999999999999E-2</v>
      </c>
      <c r="AL63" s="508" t="s">
        <v>143</v>
      </c>
      <c r="AM63" s="29">
        <v>3.860896621314279E-2</v>
      </c>
    </row>
    <row r="64" spans="1:39">
      <c r="A64" s="501" t="s">
        <v>738</v>
      </c>
      <c r="G64" s="499">
        <v>1.6840000000000001E-2</v>
      </c>
      <c r="H64" s="499">
        <v>8.8283E-2</v>
      </c>
      <c r="I64" s="499">
        <v>0.19608100000000001</v>
      </c>
      <c r="J64" s="499">
        <v>0.33788499999999999</v>
      </c>
      <c r="K64" s="499">
        <v>0.54142999999999997</v>
      </c>
      <c r="L64" s="499">
        <v>0.77896499999999991</v>
      </c>
      <c r="M64" s="499">
        <v>0.78046799999999994</v>
      </c>
      <c r="N64" s="499">
        <v>0.78299600000000003</v>
      </c>
      <c r="O64" s="499">
        <v>0.78906900000000002</v>
      </c>
      <c r="P64" s="499">
        <v>0.80717900000000009</v>
      </c>
      <c r="Q64" s="499">
        <v>0.83154799999999995</v>
      </c>
      <c r="R64" s="499">
        <v>0.85978500000000002</v>
      </c>
      <c r="S64" s="499">
        <v>0.89041599999999999</v>
      </c>
      <c r="T64" s="499">
        <v>0.92307499999999998</v>
      </c>
      <c r="U64" s="499">
        <v>0.95984399999999992</v>
      </c>
      <c r="V64" s="499">
        <v>1.005951</v>
      </c>
      <c r="W64" s="499">
        <v>1.054063</v>
      </c>
      <c r="X64" s="499">
        <v>1.103118</v>
      </c>
      <c r="Y64" s="499">
        <v>1.1533150000000001</v>
      </c>
      <c r="Z64" s="499">
        <v>1.2054119999999999</v>
      </c>
      <c r="AA64" s="499">
        <v>1.2589570000000001</v>
      </c>
      <c r="AB64" s="499">
        <v>1.314284</v>
      </c>
      <c r="AC64" s="499">
        <v>1.371553</v>
      </c>
      <c r="AD64" s="499">
        <v>1.4316150000000001</v>
      </c>
      <c r="AE64" s="499">
        <v>1.504251</v>
      </c>
      <c r="AF64" s="499">
        <v>1.5801529999999999</v>
      </c>
      <c r="AG64" s="499">
        <v>1.658353</v>
      </c>
      <c r="AH64" s="499">
        <v>1.7381200000000001</v>
      </c>
      <c r="AI64" s="499">
        <v>1.819852</v>
      </c>
      <c r="AJ64" s="499">
        <v>1.906353</v>
      </c>
      <c r="AK64" s="503">
        <v>7.0000000000000007E-2</v>
      </c>
      <c r="AL64" s="508" t="s">
        <v>731</v>
      </c>
      <c r="AM64" s="29">
        <v>0.51589681248834773</v>
      </c>
    </row>
    <row r="65" spans="1:44">
      <c r="A65" s="501" t="s">
        <v>739</v>
      </c>
      <c r="G65" s="499">
        <v>27.077446999999999</v>
      </c>
      <c r="H65" s="499">
        <v>31.701445</v>
      </c>
      <c r="I65" s="499">
        <v>33.580373000000002</v>
      </c>
      <c r="J65" s="499">
        <v>33.966310999999997</v>
      </c>
      <c r="K65" s="499">
        <v>40.767806</v>
      </c>
      <c r="L65" s="499">
        <v>45.084701000000003</v>
      </c>
      <c r="M65" s="499">
        <v>45.108435999999998</v>
      </c>
      <c r="N65" s="499">
        <v>45.108870000000003</v>
      </c>
      <c r="O65" s="499">
        <v>45.108870000000003</v>
      </c>
      <c r="P65" s="499">
        <v>45.110329</v>
      </c>
      <c r="Q65" s="499">
        <v>45.104281</v>
      </c>
      <c r="R65" s="499">
        <v>45.104840000000003</v>
      </c>
      <c r="S65" s="499">
        <v>45.103100000000005</v>
      </c>
      <c r="T65" s="499">
        <v>45.10284</v>
      </c>
      <c r="U65" s="499">
        <v>45.101298</v>
      </c>
      <c r="V65" s="499">
        <v>45.100530999999997</v>
      </c>
      <c r="W65" s="499">
        <v>45.092737999999997</v>
      </c>
      <c r="X65" s="499">
        <v>45.090955999999998</v>
      </c>
      <c r="Y65" s="499">
        <v>45.089531999999998</v>
      </c>
      <c r="Z65" s="499">
        <v>45.086191000000007</v>
      </c>
      <c r="AA65" s="499">
        <v>45.08746</v>
      </c>
      <c r="AB65" s="499">
        <v>45.090049</v>
      </c>
      <c r="AC65" s="499">
        <v>45.109467000000002</v>
      </c>
      <c r="AD65" s="499">
        <v>45.151542999999997</v>
      </c>
      <c r="AE65" s="499">
        <v>45.194068000000001</v>
      </c>
      <c r="AF65" s="499">
        <v>45.190356000000001</v>
      </c>
      <c r="AG65" s="499">
        <v>45.263466000000001</v>
      </c>
      <c r="AH65" s="499">
        <v>45.313358000000001</v>
      </c>
      <c r="AI65" s="499">
        <v>45.390753000000004</v>
      </c>
      <c r="AJ65" s="499">
        <v>45.516092</v>
      </c>
      <c r="AK65" s="503">
        <v>7.2999999999999995E-2</v>
      </c>
      <c r="AL65" s="508" t="s">
        <v>732</v>
      </c>
      <c r="AM65" s="29">
        <v>0.45185949165460232</v>
      </c>
    </row>
    <row r="66" spans="1:44">
      <c r="A66" s="502" t="s">
        <v>740</v>
      </c>
      <c r="G66" s="500">
        <v>46.127929999999999</v>
      </c>
      <c r="H66" s="500">
        <v>49.239046999999999</v>
      </c>
      <c r="I66" s="500">
        <v>48.083494000000002</v>
      </c>
      <c r="J66" s="500">
        <v>49.272750000000002</v>
      </c>
      <c r="K66" s="500">
        <v>56.561999999999998</v>
      </c>
      <c r="L66" s="500">
        <v>61.542572999999997</v>
      </c>
      <c r="M66" s="500">
        <v>61.892882</v>
      </c>
      <c r="N66" s="500">
        <v>62.126064</v>
      </c>
      <c r="O66" s="500">
        <v>62.281794000000005</v>
      </c>
      <c r="P66" s="500">
        <v>62.536614999999998</v>
      </c>
      <c r="Q66" s="500">
        <v>62.708250999999997</v>
      </c>
      <c r="R66" s="500">
        <v>62.945180999999998</v>
      </c>
      <c r="S66" s="500">
        <v>63.094489999999993</v>
      </c>
      <c r="T66" s="500">
        <v>63.380648999999998</v>
      </c>
      <c r="U66" s="500">
        <v>63.541173000000001</v>
      </c>
      <c r="V66" s="500">
        <v>63.706477</v>
      </c>
      <c r="W66" s="500">
        <v>64.468970999999996</v>
      </c>
      <c r="X66" s="500">
        <v>64.611034000000004</v>
      </c>
      <c r="Y66" s="500">
        <v>64.766531000000001</v>
      </c>
      <c r="Z66" s="500">
        <v>65.010843000000008</v>
      </c>
      <c r="AA66" s="500">
        <v>65.165544999999995</v>
      </c>
      <c r="AB66" s="500">
        <v>65.390426000000005</v>
      </c>
      <c r="AC66" s="500">
        <v>65.592880000000008</v>
      </c>
      <c r="AD66" s="500">
        <v>65.825783000000001</v>
      </c>
      <c r="AE66" s="500">
        <v>66.060359000000005</v>
      </c>
      <c r="AF66" s="500">
        <v>66.258655000000005</v>
      </c>
      <c r="AG66" s="500">
        <v>66.519492999999997</v>
      </c>
      <c r="AH66" s="500">
        <v>66.762304999999998</v>
      </c>
      <c r="AI66" s="500">
        <v>67.048692000000003</v>
      </c>
      <c r="AJ66" s="500">
        <v>67.36807499999999</v>
      </c>
      <c r="AK66" s="504">
        <v>2.1999999999999999E-2</v>
      </c>
      <c r="AL66" s="508" t="s">
        <v>733</v>
      </c>
      <c r="AM66" s="29">
        <v>8.8563702668822145E-2</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0.14978298011892283</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582</v>
      </c>
      <c r="AB70" s="319" t="s">
        <v>583</v>
      </c>
      <c r="AC70" s="319" t="s">
        <v>584</v>
      </c>
      <c r="AD70" s="319" t="s">
        <v>585</v>
      </c>
      <c r="AE70" s="319" t="s">
        <v>586</v>
      </c>
      <c r="AF70" s="319" t="s">
        <v>587</v>
      </c>
      <c r="AG70" s="319" t="s">
        <v>588</v>
      </c>
      <c r="AH70" s="319" t="s">
        <v>589</v>
      </c>
      <c r="AI70" s="319" t="s">
        <v>590</v>
      </c>
      <c r="AJ70" s="319" t="s">
        <v>591</v>
      </c>
      <c r="AK70" s="319" t="s">
        <v>594</v>
      </c>
      <c r="AM70" s="90" t="s">
        <v>747</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728</v>
      </c>
      <c r="AN72" s="18">
        <v>0</v>
      </c>
      <c r="AO72" s="18">
        <v>0</v>
      </c>
      <c r="AP72" s="18">
        <v>0</v>
      </c>
      <c r="AQ72" s="18">
        <v>0</v>
      </c>
      <c r="AR72" s="18">
        <v>0</v>
      </c>
    </row>
    <row r="73" spans="1:44" s="18" customFormat="1">
      <c r="A73" s="17" t="s">
        <v>49</v>
      </c>
      <c r="B73" s="491">
        <f>AN73</f>
        <v>1.679</v>
      </c>
      <c r="C73" s="491">
        <f t="shared" ref="C73:F73" si="0">AO73</f>
        <v>1.516</v>
      </c>
      <c r="D73" s="491">
        <f t="shared" si="0"/>
        <v>1.6160000000000001</v>
      </c>
      <c r="E73" s="491">
        <f t="shared" si="0"/>
        <v>1.3939999999999999</v>
      </c>
      <c r="F73" s="491">
        <f t="shared" si="0"/>
        <v>2.1120000000000001</v>
      </c>
      <c r="G73" s="484">
        <f t="shared" ref="G73:AJ73" si="1">G60*$AM61</f>
        <v>2.7073587498853375</v>
      </c>
      <c r="H73" s="484">
        <f t="shared" si="1"/>
        <v>2.3482123844878848</v>
      </c>
      <c r="I73" s="484">
        <f t="shared" si="1"/>
        <v>1.9639264817197446</v>
      </c>
      <c r="J73" s="484">
        <f t="shared" si="1"/>
        <v>2.0064499619684524</v>
      </c>
      <c r="K73" s="484">
        <f t="shared" si="1"/>
        <v>2.0477733035109851</v>
      </c>
      <c r="L73" s="484">
        <f t="shared" si="1"/>
        <v>2.0893590448765509</v>
      </c>
      <c r="M73" s="484">
        <f t="shared" si="1"/>
        <v>2.1312968923022275</v>
      </c>
      <c r="N73" s="484">
        <f t="shared" si="1"/>
        <v>2.1312979818516657</v>
      </c>
      <c r="O73" s="484">
        <f t="shared" si="1"/>
        <v>2.1312979818516657</v>
      </c>
      <c r="P73" s="484">
        <f t="shared" si="1"/>
        <v>2.1312979818516657</v>
      </c>
      <c r="Q73" s="484">
        <f t="shared" si="1"/>
        <v>2.1312979818516657</v>
      </c>
      <c r="R73" s="484">
        <f t="shared" si="1"/>
        <v>2.1312979818516657</v>
      </c>
      <c r="S73" s="484">
        <f t="shared" si="1"/>
        <v>2.1312979818516657</v>
      </c>
      <c r="T73" s="484">
        <f t="shared" si="1"/>
        <v>2.1312979818516657</v>
      </c>
      <c r="U73" s="484">
        <f t="shared" si="1"/>
        <v>2.1312979818516657</v>
      </c>
      <c r="V73" s="484">
        <f t="shared" si="1"/>
        <v>2.1312979818516657</v>
      </c>
      <c r="W73" s="484">
        <f t="shared" si="1"/>
        <v>2.2408607126663997</v>
      </c>
      <c r="X73" s="484">
        <f t="shared" si="1"/>
        <v>2.2408607126663997</v>
      </c>
      <c r="Y73" s="484">
        <f t="shared" si="1"/>
        <v>2.2408607126663997</v>
      </c>
      <c r="Z73" s="484">
        <f t="shared" si="1"/>
        <v>2.2528128884118583</v>
      </c>
      <c r="AA73" s="484">
        <f t="shared" si="1"/>
        <v>2.2528128884118583</v>
      </c>
      <c r="AB73" s="484">
        <f t="shared" si="1"/>
        <v>2.2659239815764129</v>
      </c>
      <c r="AC73" s="484">
        <f t="shared" si="1"/>
        <v>2.2659239815764129</v>
      </c>
      <c r="AD73" s="484">
        <f t="shared" si="1"/>
        <v>2.2659239815764129</v>
      </c>
      <c r="AE73" s="484">
        <f t="shared" si="1"/>
        <v>2.2659239815764129</v>
      </c>
      <c r="AF73" s="484">
        <f t="shared" si="1"/>
        <v>2.2659239815764129</v>
      </c>
      <c r="AG73" s="484">
        <f t="shared" si="1"/>
        <v>2.2659239815764129</v>
      </c>
      <c r="AH73" s="484">
        <f t="shared" si="1"/>
        <v>2.2659239815764129</v>
      </c>
      <c r="AI73" s="484">
        <f t="shared" si="1"/>
        <v>2.2659239815764129</v>
      </c>
      <c r="AJ73" s="484">
        <f t="shared" si="1"/>
        <v>2.2659239815764129</v>
      </c>
      <c r="AK73" s="485"/>
      <c r="AM73" s="18" t="s">
        <v>729</v>
      </c>
      <c r="AN73" s="18">
        <v>1.679</v>
      </c>
      <c r="AO73" s="18">
        <v>1.516</v>
      </c>
      <c r="AP73" s="18">
        <v>1.6160000000000001</v>
      </c>
      <c r="AQ73" s="18">
        <v>1.3939999999999999</v>
      </c>
      <c r="AR73" s="18">
        <v>2.1120000000000001</v>
      </c>
    </row>
    <row r="74" spans="1:44" s="18" customFormat="1">
      <c r="A74" s="17" t="s">
        <v>50</v>
      </c>
      <c r="B74" s="491">
        <f>AN72</f>
        <v>0</v>
      </c>
      <c r="C74" s="491">
        <f t="shared" ref="C74:F74" si="2">AO72</f>
        <v>0</v>
      </c>
      <c r="D74" s="491">
        <f t="shared" si="2"/>
        <v>0</v>
      </c>
      <c r="E74" s="491">
        <f t="shared" si="2"/>
        <v>0</v>
      </c>
      <c r="F74" s="491">
        <f t="shared" si="2"/>
        <v>0</v>
      </c>
      <c r="G74" s="484">
        <f t="shared" ref="G74:AJ74" si="3">G61*$AM60</f>
        <v>1E-10</v>
      </c>
      <c r="H74" s="484">
        <f t="shared" si="3"/>
        <v>1E-10</v>
      </c>
      <c r="I74" s="484">
        <f t="shared" si="3"/>
        <v>1E-10</v>
      </c>
      <c r="J74" s="484">
        <f t="shared" si="3"/>
        <v>1E-10</v>
      </c>
      <c r="K74" s="484">
        <f t="shared" si="3"/>
        <v>1E-10</v>
      </c>
      <c r="L74" s="484">
        <f t="shared" si="3"/>
        <v>1E-10</v>
      </c>
      <c r="M74" s="484">
        <f t="shared" si="3"/>
        <v>1E-10</v>
      </c>
      <c r="N74" s="484">
        <f t="shared" si="3"/>
        <v>1E-10</v>
      </c>
      <c r="O74" s="484">
        <f t="shared" si="3"/>
        <v>1E-10</v>
      </c>
      <c r="P74" s="484">
        <f t="shared" si="3"/>
        <v>1E-10</v>
      </c>
      <c r="Q74" s="484">
        <f t="shared" si="3"/>
        <v>1E-10</v>
      </c>
      <c r="R74" s="484">
        <f t="shared" si="3"/>
        <v>1E-10</v>
      </c>
      <c r="S74" s="484">
        <f t="shared" si="3"/>
        <v>1E-10</v>
      </c>
      <c r="T74" s="484">
        <f t="shared" si="3"/>
        <v>1E-10</v>
      </c>
      <c r="U74" s="484">
        <f t="shared" si="3"/>
        <v>1E-10</v>
      </c>
      <c r="V74" s="484">
        <f t="shared" si="3"/>
        <v>1E-10</v>
      </c>
      <c r="W74" s="484">
        <f t="shared" si="3"/>
        <v>1E-10</v>
      </c>
      <c r="X74" s="484">
        <f t="shared" si="3"/>
        <v>1E-10</v>
      </c>
      <c r="Y74" s="484">
        <f t="shared" si="3"/>
        <v>1E-10</v>
      </c>
      <c r="Z74" s="484">
        <f t="shared" si="3"/>
        <v>1E-10</v>
      </c>
      <c r="AA74" s="484">
        <f t="shared" si="3"/>
        <v>1E-10</v>
      </c>
      <c r="AB74" s="484">
        <f t="shared" si="3"/>
        <v>1E-10</v>
      </c>
      <c r="AC74" s="484">
        <f t="shared" si="3"/>
        <v>1E-10</v>
      </c>
      <c r="AD74" s="484">
        <f t="shared" si="3"/>
        <v>1E-10</v>
      </c>
      <c r="AE74" s="484">
        <f t="shared" si="3"/>
        <v>1E-10</v>
      </c>
      <c r="AF74" s="484">
        <f t="shared" si="3"/>
        <v>1E-10</v>
      </c>
      <c r="AG74" s="484">
        <f t="shared" si="3"/>
        <v>1E-10</v>
      </c>
      <c r="AH74" s="484">
        <f t="shared" si="3"/>
        <v>1E-10</v>
      </c>
      <c r="AI74" s="484">
        <f t="shared" si="3"/>
        <v>1E-10</v>
      </c>
      <c r="AJ74" s="484">
        <f t="shared" si="3"/>
        <v>1E-10</v>
      </c>
      <c r="AK74" s="485"/>
      <c r="AM74" s="18" t="s">
        <v>752</v>
      </c>
      <c r="AN74" s="18">
        <v>0</v>
      </c>
      <c r="AO74" s="18">
        <v>0</v>
      </c>
      <c r="AP74" s="18">
        <v>0</v>
      </c>
      <c r="AQ74" s="18">
        <v>0</v>
      </c>
      <c r="AR74" s="18">
        <v>0</v>
      </c>
    </row>
    <row r="75" spans="1:44" s="18" customFormat="1">
      <c r="A75" s="17" t="s">
        <v>51</v>
      </c>
      <c r="B75" s="491">
        <f>AN77</f>
        <v>0.375</v>
      </c>
      <c r="C75" s="491">
        <f t="shared" ref="C75:F75" si="4">AO77</f>
        <v>0.41399999999999998</v>
      </c>
      <c r="D75" s="491">
        <f t="shared" si="4"/>
        <v>0.47399999999999998</v>
      </c>
      <c r="E75" s="491">
        <f t="shared" si="4"/>
        <v>0.48899999999999999</v>
      </c>
      <c r="F75" s="491">
        <f t="shared" si="4"/>
        <v>0.47</v>
      </c>
      <c r="G75" s="484">
        <f t="shared" ref="G75:AJ75" si="5">G62*$AM65</f>
        <v>0.80214503632067491</v>
      </c>
      <c r="H75" s="484">
        <f t="shared" si="5"/>
        <v>0.86514373850665116</v>
      </c>
      <c r="I75" s="484">
        <f t="shared" si="5"/>
        <v>0.33622774402120631</v>
      </c>
      <c r="J75" s="484">
        <f t="shared" si="5"/>
        <v>0.36280386002287168</v>
      </c>
      <c r="K75" s="484">
        <f t="shared" si="5"/>
        <v>0.36951532905241752</v>
      </c>
      <c r="L75" s="484">
        <f t="shared" si="5"/>
        <v>0.36961157512413995</v>
      </c>
      <c r="M75" s="484">
        <f t="shared" si="5"/>
        <v>0.36969290983263775</v>
      </c>
      <c r="N75" s="484">
        <f t="shared" si="5"/>
        <v>0.36972815487298683</v>
      </c>
      <c r="O75" s="484">
        <f t="shared" si="5"/>
        <v>0.36966308710618861</v>
      </c>
      <c r="P75" s="484">
        <f t="shared" si="5"/>
        <v>0.36956277429904127</v>
      </c>
      <c r="Q75" s="484">
        <f t="shared" si="5"/>
        <v>0.36950493628410946</v>
      </c>
      <c r="R75" s="484">
        <f t="shared" si="5"/>
        <v>0.36944845384765262</v>
      </c>
      <c r="S75" s="484">
        <f t="shared" si="5"/>
        <v>0.36938519351882099</v>
      </c>
      <c r="T75" s="484">
        <f t="shared" si="5"/>
        <v>0.36932374062795598</v>
      </c>
      <c r="U75" s="484">
        <f t="shared" si="5"/>
        <v>0.36926273959658262</v>
      </c>
      <c r="V75" s="484">
        <f t="shared" si="5"/>
        <v>0.36918682720198459</v>
      </c>
      <c r="W75" s="484">
        <f t="shared" si="5"/>
        <v>0.36910413691501187</v>
      </c>
      <c r="X75" s="484">
        <f t="shared" si="5"/>
        <v>0.36901060200023933</v>
      </c>
      <c r="Y75" s="484">
        <f t="shared" si="5"/>
        <v>0.36886962183884309</v>
      </c>
      <c r="Z75" s="484">
        <f t="shared" si="5"/>
        <v>0.36858178734265912</v>
      </c>
      <c r="AA75" s="484">
        <f t="shared" si="5"/>
        <v>0.36829485656545846</v>
      </c>
      <c r="AB75" s="484">
        <f t="shared" si="5"/>
        <v>0.36801063694520769</v>
      </c>
      <c r="AC75" s="484">
        <f t="shared" si="5"/>
        <v>0.36773319521733178</v>
      </c>
      <c r="AD75" s="484">
        <f t="shared" si="5"/>
        <v>0.36747382786912203</v>
      </c>
      <c r="AE75" s="484">
        <f t="shared" si="5"/>
        <v>0.36721626795887891</v>
      </c>
      <c r="AF75" s="484">
        <f t="shared" si="5"/>
        <v>0.36696729337897721</v>
      </c>
      <c r="AG75" s="484">
        <f t="shared" si="5"/>
        <v>0.36672961528636688</v>
      </c>
      <c r="AH75" s="484">
        <f t="shared" si="5"/>
        <v>0.36648109256595685</v>
      </c>
      <c r="AI75" s="484">
        <f t="shared" si="5"/>
        <v>0.36627820765420399</v>
      </c>
      <c r="AJ75" s="484">
        <f t="shared" si="5"/>
        <v>0.36608842666770902</v>
      </c>
      <c r="AK75" s="485"/>
      <c r="AM75" s="18" t="s">
        <v>143</v>
      </c>
      <c r="AN75" s="18">
        <v>0.10100000000000001</v>
      </c>
      <c r="AO75" s="18">
        <v>0.109</v>
      </c>
      <c r="AP75" s="18">
        <v>0.48699999999999999</v>
      </c>
      <c r="AQ75" s="18">
        <v>1.052</v>
      </c>
      <c r="AR75" s="18">
        <v>1.0880000000000001</v>
      </c>
    </row>
    <row r="76" spans="1:44" s="18" customFormat="1">
      <c r="A76" s="17" t="s">
        <v>56</v>
      </c>
      <c r="B76" s="492">
        <f>AN76</f>
        <v>0.77400000000000002</v>
      </c>
      <c r="C76" s="492">
        <f t="shared" ref="C76:F76" si="6">AO76</f>
        <v>0.78500000000000003</v>
      </c>
      <c r="D76" s="492">
        <f t="shared" si="6"/>
        <v>0.77500000000000002</v>
      </c>
      <c r="E76" s="492">
        <f t="shared" si="6"/>
        <v>0.76900000000000002</v>
      </c>
      <c r="F76" s="492">
        <f t="shared" si="6"/>
        <v>0.878</v>
      </c>
      <c r="G76" s="492">
        <f>G63*$AM$64</f>
        <v>1.212038169220687</v>
      </c>
      <c r="H76" s="492">
        <f>H63*$AM$64</f>
        <v>1.3430867934257895</v>
      </c>
      <c r="I76" s="492">
        <f t="shared" ref="I76:AJ76" si="7">I63*$AM$64</f>
        <v>1.4176158264419187</v>
      </c>
      <c r="J76" s="492">
        <f t="shared" si="7"/>
        <v>1.6077392787482494</v>
      </c>
      <c r="K76" s="492">
        <f t="shared" si="7"/>
        <v>1.6292991224389499</v>
      </c>
      <c r="L76" s="492">
        <f t="shared" si="7"/>
        <v>1.7308926181350304</v>
      </c>
      <c r="M76" s="492">
        <f t="shared" si="7"/>
        <v>1.7793580282874357</v>
      </c>
      <c r="N76" s="492">
        <f t="shared" si="7"/>
        <v>1.898085488919879</v>
      </c>
      <c r="O76" s="492">
        <f t="shared" si="7"/>
        <v>1.975366315533821</v>
      </c>
      <c r="P76" s="492">
        <f t="shared" si="7"/>
        <v>2.0968466015577021</v>
      </c>
      <c r="Q76" s="492">
        <f t="shared" si="7"/>
        <v>2.1760073561563518</v>
      </c>
      <c r="R76" s="492">
        <f t="shared" si="7"/>
        <v>2.2834469945315501</v>
      </c>
      <c r="S76" s="492">
        <f t="shared" si="7"/>
        <v>2.3456435142451455</v>
      </c>
      <c r="T76" s="492">
        <f t="shared" si="7"/>
        <v>2.4766266195550619</v>
      </c>
      <c r="U76" s="492">
        <f t="shared" si="7"/>
        <v>2.5413360726422876</v>
      </c>
      <c r="V76" s="492">
        <f t="shared" si="7"/>
        <v>2.603312820313763</v>
      </c>
      <c r="W76" s="492">
        <f t="shared" si="7"/>
        <v>2.6647096999680011</v>
      </c>
      <c r="X76" s="492">
        <f t="shared" si="7"/>
        <v>2.7137193812575817</v>
      </c>
      <c r="Y76" s="492">
        <f t="shared" si="7"/>
        <v>2.7689389124790846</v>
      </c>
      <c r="Z76" s="492">
        <f t="shared" si="7"/>
        <v>2.8361994753040651</v>
      </c>
      <c r="AA76" s="492">
        <f t="shared" si="7"/>
        <v>2.8880574228953937</v>
      </c>
      <c r="AB76" s="492">
        <f t="shared" si="7"/>
        <v>2.9372693357354702</v>
      </c>
      <c r="AC76" s="492">
        <f t="shared" si="7"/>
        <v>3.0024688907945598</v>
      </c>
      <c r="AD76" s="492">
        <f t="shared" si="7"/>
        <v>3.0702257463531546</v>
      </c>
      <c r="AE76" s="492">
        <f t="shared" si="7"/>
        <v>3.1321261412963817</v>
      </c>
      <c r="AF76" s="492">
        <f t="shared" si="7"/>
        <v>3.1974680838757181</v>
      </c>
      <c r="AG76" s="492">
        <f t="shared" si="7"/>
        <v>3.2542440757804982</v>
      </c>
      <c r="AH76" s="492">
        <f t="shared" si="7"/>
        <v>3.3129046387412986</v>
      </c>
      <c r="AI76" s="492">
        <f t="shared" si="7"/>
        <v>3.3787898206641853</v>
      </c>
      <c r="AJ76" s="492">
        <f t="shared" si="7"/>
        <v>3.4344875882308643</v>
      </c>
      <c r="AK76" s="485"/>
      <c r="AM76" s="18" t="s">
        <v>753</v>
      </c>
      <c r="AN76" s="18">
        <v>0.77400000000000002</v>
      </c>
      <c r="AO76" s="18">
        <v>0.78500000000000003</v>
      </c>
      <c r="AP76" s="18">
        <v>0.77500000000000002</v>
      </c>
      <c r="AQ76" s="18">
        <v>0.76900000000000002</v>
      </c>
      <c r="AR76" s="18">
        <v>0.878</v>
      </c>
    </row>
    <row r="77" spans="1:44" s="18" customFormat="1">
      <c r="A77" s="17" t="s">
        <v>52</v>
      </c>
      <c r="B77" s="491">
        <f>AN74</f>
        <v>0</v>
      </c>
      <c r="C77" s="491">
        <f t="shared" ref="C77:F77" si="8">AO74</f>
        <v>0</v>
      </c>
      <c r="D77" s="491">
        <f t="shared" si="8"/>
        <v>0</v>
      </c>
      <c r="E77" s="491">
        <f t="shared" si="8"/>
        <v>0</v>
      </c>
      <c r="F77" s="491">
        <f t="shared" si="8"/>
        <v>0</v>
      </c>
      <c r="G77" s="484">
        <f t="shared" ref="G77:AJ77" si="9">G64*$AM62</f>
        <v>0</v>
      </c>
      <c r="H77" s="484">
        <f t="shared" si="9"/>
        <v>0</v>
      </c>
      <c r="I77" s="484">
        <f t="shared" si="9"/>
        <v>0</v>
      </c>
      <c r="J77" s="484">
        <f t="shared" si="9"/>
        <v>0</v>
      </c>
      <c r="K77" s="484">
        <f t="shared" si="9"/>
        <v>0</v>
      </c>
      <c r="L77" s="484">
        <f t="shared" si="9"/>
        <v>0</v>
      </c>
      <c r="M77" s="484">
        <f t="shared" si="9"/>
        <v>0</v>
      </c>
      <c r="N77" s="484">
        <f t="shared" si="9"/>
        <v>0</v>
      </c>
      <c r="O77" s="484">
        <f t="shared" si="9"/>
        <v>0</v>
      </c>
      <c r="P77" s="484">
        <f t="shared" si="9"/>
        <v>0</v>
      </c>
      <c r="Q77" s="484">
        <f t="shared" si="9"/>
        <v>0</v>
      </c>
      <c r="R77" s="484">
        <f t="shared" si="9"/>
        <v>0</v>
      </c>
      <c r="S77" s="484">
        <f t="shared" si="9"/>
        <v>0</v>
      </c>
      <c r="T77" s="484">
        <f t="shared" si="9"/>
        <v>0</v>
      </c>
      <c r="U77" s="484">
        <f t="shared" si="9"/>
        <v>0</v>
      </c>
      <c r="V77" s="484">
        <f t="shared" si="9"/>
        <v>0</v>
      </c>
      <c r="W77" s="484">
        <f t="shared" si="9"/>
        <v>0</v>
      </c>
      <c r="X77" s="484">
        <f t="shared" si="9"/>
        <v>0</v>
      </c>
      <c r="Y77" s="484">
        <f t="shared" si="9"/>
        <v>0</v>
      </c>
      <c r="Z77" s="484">
        <f t="shared" si="9"/>
        <v>0</v>
      </c>
      <c r="AA77" s="484">
        <f t="shared" si="9"/>
        <v>0</v>
      </c>
      <c r="AB77" s="484">
        <f t="shared" si="9"/>
        <v>0</v>
      </c>
      <c r="AC77" s="484">
        <f t="shared" si="9"/>
        <v>0</v>
      </c>
      <c r="AD77" s="484">
        <f t="shared" si="9"/>
        <v>0</v>
      </c>
      <c r="AE77" s="484">
        <f t="shared" si="9"/>
        <v>0</v>
      </c>
      <c r="AF77" s="484">
        <f t="shared" si="9"/>
        <v>0</v>
      </c>
      <c r="AG77" s="484">
        <f t="shared" si="9"/>
        <v>0</v>
      </c>
      <c r="AH77" s="484">
        <f t="shared" si="9"/>
        <v>0</v>
      </c>
      <c r="AI77" s="484">
        <f t="shared" si="9"/>
        <v>0</v>
      </c>
      <c r="AJ77" s="484">
        <f t="shared" si="9"/>
        <v>0</v>
      </c>
      <c r="AK77" s="485"/>
      <c r="AM77" s="18" t="s">
        <v>754</v>
      </c>
      <c r="AN77" s="18">
        <v>0.375</v>
      </c>
      <c r="AO77" s="18">
        <v>0.41399999999999998</v>
      </c>
      <c r="AP77" s="18">
        <v>0.47399999999999998</v>
      </c>
      <c r="AQ77" s="18">
        <v>0.48899999999999999</v>
      </c>
      <c r="AR77" s="18">
        <v>0.47</v>
      </c>
    </row>
    <row r="78" spans="1:44" s="18" customFormat="1">
      <c r="A78" s="17" t="s">
        <v>53</v>
      </c>
      <c r="B78" s="491">
        <f>AN75</f>
        <v>0.10100000000000001</v>
      </c>
      <c r="C78" s="491">
        <f t="shared" ref="C78:F78" si="10">AO75</f>
        <v>0.109</v>
      </c>
      <c r="D78" s="491">
        <f t="shared" si="10"/>
        <v>0.48699999999999999</v>
      </c>
      <c r="E78" s="491">
        <f t="shared" si="10"/>
        <v>1.052</v>
      </c>
      <c r="F78" s="491">
        <f t="shared" si="10"/>
        <v>1.0880000000000001</v>
      </c>
      <c r="G78" s="484">
        <f t="shared" ref="G78:AJ78" si="11">G65*$AM63</f>
        <v>1.0454322363611646</v>
      </c>
      <c r="H78" s="484">
        <f t="shared" si="11"/>
        <v>1.2239600189128044</v>
      </c>
      <c r="I78" s="484">
        <f t="shared" si="11"/>
        <v>1.2965034865817324</v>
      </c>
      <c r="J78" s="484">
        <f t="shared" si="11"/>
        <v>1.3114041537841001</v>
      </c>
      <c r="K78" s="484">
        <f t="shared" si="11"/>
        <v>1.5740028444379599</v>
      </c>
      <c r="L78" s="484">
        <f t="shared" si="11"/>
        <v>1.740673697638645</v>
      </c>
      <c r="M78" s="484">
        <f t="shared" si="11"/>
        <v>1.7415900814517138</v>
      </c>
      <c r="N78" s="484">
        <f t="shared" si="11"/>
        <v>1.7416068377430505</v>
      </c>
      <c r="O78" s="484">
        <f t="shared" si="11"/>
        <v>1.7416068377430505</v>
      </c>
      <c r="P78" s="484">
        <f t="shared" si="11"/>
        <v>1.7416631682247554</v>
      </c>
      <c r="Q78" s="484">
        <f t="shared" si="11"/>
        <v>1.7414296611970983</v>
      </c>
      <c r="R78" s="484">
        <f t="shared" si="11"/>
        <v>1.7414512436092116</v>
      </c>
      <c r="S78" s="484">
        <f t="shared" si="11"/>
        <v>1.7413840640080007</v>
      </c>
      <c r="T78" s="484">
        <f t="shared" si="11"/>
        <v>1.7413740256767851</v>
      </c>
      <c r="U78" s="484">
        <f t="shared" si="11"/>
        <v>1.7413144906508844</v>
      </c>
      <c r="V78" s="484">
        <f t="shared" si="11"/>
        <v>1.7412848775737988</v>
      </c>
      <c r="W78" s="484">
        <f t="shared" si="11"/>
        <v>1.7409839979000998</v>
      </c>
      <c r="X78" s="484">
        <f t="shared" si="11"/>
        <v>1.740915196722308</v>
      </c>
      <c r="Y78" s="484">
        <f t="shared" si="11"/>
        <v>1.7408602175544206</v>
      </c>
      <c r="Z78" s="484">
        <f t="shared" si="11"/>
        <v>1.7407312249983027</v>
      </c>
      <c r="AA78" s="484">
        <f t="shared" si="11"/>
        <v>1.7407802197764271</v>
      </c>
      <c r="AB78" s="484">
        <f t="shared" si="11"/>
        <v>1.7408801783899528</v>
      </c>
      <c r="AC78" s="484">
        <f t="shared" si="11"/>
        <v>1.7416298872958798</v>
      </c>
      <c r="AD78" s="484">
        <f t="shared" si="11"/>
        <v>1.7432543981582638</v>
      </c>
      <c r="AE78" s="484">
        <f t="shared" si="11"/>
        <v>1.7448962444464777</v>
      </c>
      <c r="AF78" s="484">
        <f t="shared" si="11"/>
        <v>1.7447529279638947</v>
      </c>
      <c r="AG78" s="484">
        <f t="shared" si="11"/>
        <v>1.7475756294837375</v>
      </c>
      <c r="AH78" s="484">
        <f t="shared" si="11"/>
        <v>1.7495019080260437</v>
      </c>
      <c r="AI78" s="484">
        <f t="shared" si="11"/>
        <v>1.7524900489661099</v>
      </c>
      <c r="AJ78" s="484">
        <f t="shared" si="11"/>
        <v>1.7573292581822988</v>
      </c>
      <c r="AK78" s="485"/>
      <c r="AM78" s="18" t="s">
        <v>755</v>
      </c>
      <c r="AN78" s="18">
        <v>1.6E-2</v>
      </c>
      <c r="AO78" s="18">
        <v>2.1000000000000001E-2</v>
      </c>
      <c r="AP78" s="18">
        <v>1.7999999999999999E-2</v>
      </c>
      <c r="AQ78" s="18">
        <v>0.03</v>
      </c>
      <c r="AR78" s="18">
        <v>3.7999999999999999E-2</v>
      </c>
    </row>
    <row r="79" spans="1:44" s="18" customFormat="1">
      <c r="A79" s="17" t="s">
        <v>54</v>
      </c>
      <c r="B79" s="493">
        <f>AN79</f>
        <v>2.944</v>
      </c>
      <c r="C79" s="493">
        <f t="shared" ref="C79:F79" si="12">AO79</f>
        <v>2.8460000000000001</v>
      </c>
      <c r="D79" s="493">
        <f t="shared" si="12"/>
        <v>3.37</v>
      </c>
      <c r="E79" s="493">
        <f t="shared" si="12"/>
        <v>3.734</v>
      </c>
      <c r="F79" s="493">
        <f t="shared" si="12"/>
        <v>4.5860000000000003</v>
      </c>
      <c r="G79" s="486">
        <f>SUM(G73:G78)</f>
        <v>5.7669741918878641</v>
      </c>
      <c r="H79" s="486">
        <f t="shared" ref="H79:AJ79" si="13">SUM(H73:H78)</f>
        <v>5.7804029354331297</v>
      </c>
      <c r="I79" s="486">
        <f t="shared" si="13"/>
        <v>5.014273538864602</v>
      </c>
      <c r="J79" s="486">
        <f t="shared" si="13"/>
        <v>5.288397254623673</v>
      </c>
      <c r="K79" s="486">
        <f t="shared" si="13"/>
        <v>5.6205905995403125</v>
      </c>
      <c r="L79" s="486">
        <f t="shared" si="13"/>
        <v>5.9305369358743656</v>
      </c>
      <c r="M79" s="486">
        <f t="shared" si="13"/>
        <v>6.021937911974014</v>
      </c>
      <c r="N79" s="486">
        <f t="shared" si="13"/>
        <v>6.1407184634875822</v>
      </c>
      <c r="O79" s="486">
        <f t="shared" si="13"/>
        <v>6.2179342223347263</v>
      </c>
      <c r="P79" s="486">
        <f t="shared" si="13"/>
        <v>6.3393705260331643</v>
      </c>
      <c r="Q79" s="486">
        <f t="shared" si="13"/>
        <v>6.4182399355892246</v>
      </c>
      <c r="R79" s="486">
        <f t="shared" si="13"/>
        <v>6.5256446739400795</v>
      </c>
      <c r="S79" s="486">
        <f t="shared" si="13"/>
        <v>6.5877107537236324</v>
      </c>
      <c r="T79" s="486">
        <f t="shared" si="13"/>
        <v>6.7186223678114683</v>
      </c>
      <c r="U79" s="486">
        <f t="shared" si="13"/>
        <v>6.7832112848414203</v>
      </c>
      <c r="V79" s="486">
        <f t="shared" si="13"/>
        <v>6.8450825070412122</v>
      </c>
      <c r="W79" s="486">
        <f t="shared" si="13"/>
        <v>7.0156585475495135</v>
      </c>
      <c r="X79" s="486">
        <f t="shared" si="13"/>
        <v>7.0645058927465287</v>
      </c>
      <c r="Y79" s="486">
        <f t="shared" si="13"/>
        <v>7.1195294646387479</v>
      </c>
      <c r="Z79" s="486">
        <f t="shared" si="13"/>
        <v>7.1983253761568857</v>
      </c>
      <c r="AA79" s="486">
        <f t="shared" si="13"/>
        <v>7.249945387749138</v>
      </c>
      <c r="AB79" s="486">
        <f t="shared" si="13"/>
        <v>7.3120841327470441</v>
      </c>
      <c r="AC79" s="486">
        <f t="shared" si="13"/>
        <v>7.3777559549841847</v>
      </c>
      <c r="AD79" s="486">
        <f t="shared" si="13"/>
        <v>7.4468779540569532</v>
      </c>
      <c r="AE79" s="486">
        <f t="shared" si="13"/>
        <v>7.5101626353781512</v>
      </c>
      <c r="AF79" s="486">
        <f t="shared" si="13"/>
        <v>7.5751122868950027</v>
      </c>
      <c r="AG79" s="486">
        <f t="shared" si="13"/>
        <v>7.6344733022270157</v>
      </c>
      <c r="AH79" s="486">
        <f t="shared" si="13"/>
        <v>7.6948116210097126</v>
      </c>
      <c r="AI79" s="486">
        <f t="shared" si="13"/>
        <v>7.7634820589609124</v>
      </c>
      <c r="AJ79" s="486">
        <f t="shared" si="13"/>
        <v>7.8238292547572854</v>
      </c>
      <c r="AK79" s="487"/>
      <c r="AM79" s="18" t="s">
        <v>58</v>
      </c>
      <c r="AN79" s="18">
        <v>2.944</v>
      </c>
      <c r="AO79" s="18">
        <v>2.8460000000000001</v>
      </c>
      <c r="AP79" s="18">
        <v>3.37</v>
      </c>
      <c r="AQ79" s="18">
        <v>3.734</v>
      </c>
      <c r="AR79" s="18">
        <v>4.5860000000000003</v>
      </c>
    </row>
    <row r="80" spans="1:44" s="255" customFormat="1">
      <c r="A80" s="254" t="s">
        <v>57</v>
      </c>
      <c r="B80" s="474">
        <f>B79*1000</f>
        <v>2944</v>
      </c>
      <c r="C80" s="474">
        <f t="shared" ref="C80:AJ80" si="14">C79*1000</f>
        <v>2846</v>
      </c>
      <c r="D80" s="474">
        <f t="shared" si="14"/>
        <v>3370</v>
      </c>
      <c r="E80" s="474">
        <f t="shared" si="14"/>
        <v>3734</v>
      </c>
      <c r="F80" s="474">
        <f t="shared" si="14"/>
        <v>4586</v>
      </c>
      <c r="G80" s="276">
        <f t="shared" si="14"/>
        <v>5766.9741918878644</v>
      </c>
      <c r="H80" s="276">
        <f t="shared" si="14"/>
        <v>5780.4029354331296</v>
      </c>
      <c r="I80" s="276">
        <f t="shared" si="14"/>
        <v>5014.2735388646024</v>
      </c>
      <c r="J80" s="276">
        <f t="shared" si="14"/>
        <v>5288.3972546236728</v>
      </c>
      <c r="K80" s="276">
        <f t="shared" si="14"/>
        <v>5620.5905995403127</v>
      </c>
      <c r="L80" s="276">
        <f t="shared" si="14"/>
        <v>5930.5369358743656</v>
      </c>
      <c r="M80" s="276">
        <f t="shared" si="14"/>
        <v>6021.9379119740142</v>
      </c>
      <c r="N80" s="276">
        <f t="shared" si="14"/>
        <v>6140.7184634875821</v>
      </c>
      <c r="O80" s="276">
        <f t="shared" si="14"/>
        <v>6217.9342223347267</v>
      </c>
      <c r="P80" s="276">
        <f t="shared" si="14"/>
        <v>6339.3705260331644</v>
      </c>
      <c r="Q80" s="276">
        <f t="shared" si="14"/>
        <v>6418.2399355892248</v>
      </c>
      <c r="R80" s="276">
        <f t="shared" si="14"/>
        <v>6525.6446739400799</v>
      </c>
      <c r="S80" s="276">
        <f t="shared" si="14"/>
        <v>6587.7107537236325</v>
      </c>
      <c r="T80" s="276">
        <f t="shared" si="14"/>
        <v>6718.6223678114684</v>
      </c>
      <c r="U80" s="276">
        <f t="shared" si="14"/>
        <v>6783.2112848414199</v>
      </c>
      <c r="V80" s="276">
        <f t="shared" si="14"/>
        <v>6845.082507041212</v>
      </c>
      <c r="W80" s="276">
        <f t="shared" si="14"/>
        <v>7015.6585475495131</v>
      </c>
      <c r="X80" s="276">
        <f t="shared" si="14"/>
        <v>7064.5058927465288</v>
      </c>
      <c r="Y80" s="276">
        <f t="shared" si="14"/>
        <v>7119.5294646387483</v>
      </c>
      <c r="Z80" s="276">
        <f t="shared" si="14"/>
        <v>7198.3253761568858</v>
      </c>
      <c r="AA80" s="276">
        <f t="shared" si="14"/>
        <v>7249.9453877491378</v>
      </c>
      <c r="AB80" s="276">
        <f t="shared" si="14"/>
        <v>7312.0841327470444</v>
      </c>
      <c r="AC80" s="276">
        <f t="shared" si="14"/>
        <v>7377.7559549841844</v>
      </c>
      <c r="AD80" s="276">
        <f t="shared" si="14"/>
        <v>7446.8779540569531</v>
      </c>
      <c r="AE80" s="276">
        <f t="shared" si="14"/>
        <v>7510.1626353781512</v>
      </c>
      <c r="AF80" s="276">
        <f t="shared" si="14"/>
        <v>7575.1122868950024</v>
      </c>
      <c r="AG80" s="276">
        <f t="shared" si="14"/>
        <v>7634.4733022270157</v>
      </c>
      <c r="AH80" s="276">
        <f t="shared" si="14"/>
        <v>7694.8116210097123</v>
      </c>
      <c r="AI80" s="276">
        <f t="shared" si="14"/>
        <v>7763.4820589609126</v>
      </c>
      <c r="AJ80" s="276">
        <f t="shared" si="14"/>
        <v>7823.8292547572855</v>
      </c>
      <c r="AK80" s="321"/>
    </row>
    <row r="81" spans="1:37" s="256" customFormat="1">
      <c r="A81" s="257" t="s">
        <v>339</v>
      </c>
      <c r="B81" s="260">
        <f t="shared" ref="B81:Q82" si="15">B74/SUM(B$74:B$78)</f>
        <v>0</v>
      </c>
      <c r="C81" s="260">
        <f>C74/SUM(C$74:C$78)</f>
        <v>0</v>
      </c>
      <c r="D81" s="260">
        <f t="shared" si="15"/>
        <v>0</v>
      </c>
      <c r="E81" s="260">
        <f t="shared" si="15"/>
        <v>0</v>
      </c>
      <c r="F81" s="260">
        <f t="shared" si="15"/>
        <v>0</v>
      </c>
      <c r="G81" s="260">
        <f t="shared" si="15"/>
        <v>3.268384602430616E-11</v>
      </c>
      <c r="H81" s="260">
        <f t="shared" si="15"/>
        <v>2.9135911458196693E-11</v>
      </c>
      <c r="I81" s="260">
        <f t="shared" si="15"/>
        <v>3.2783154876022727E-11</v>
      </c>
      <c r="J81" s="260">
        <f t="shared" si="15"/>
        <v>3.0469715410662846E-11</v>
      </c>
      <c r="K81" s="260">
        <f t="shared" si="15"/>
        <v>2.7989116631050689E-11</v>
      </c>
      <c r="L81" s="260">
        <f t="shared" si="15"/>
        <v>2.6033681031633556E-11</v>
      </c>
      <c r="M81" s="260">
        <f t="shared" si="15"/>
        <v>2.5702705413936123E-11</v>
      </c>
      <c r="N81" s="260">
        <f t="shared" si="15"/>
        <v>2.4941260328774044E-11</v>
      </c>
      <c r="O81" s="260">
        <f t="shared" si="15"/>
        <v>2.447000273950968E-11</v>
      </c>
      <c r="P81" s="260">
        <f t="shared" si="15"/>
        <v>2.3763848876196294E-11</v>
      </c>
      <c r="Q81" s="260">
        <f t="shared" si="15"/>
        <v>2.3326651277098643E-11</v>
      </c>
      <c r="R81" s="260">
        <f t="shared" ref="R81:AJ82" si="16">R74/SUM(R$74:R$78)</f>
        <v>2.275651126481215E-11</v>
      </c>
      <c r="S81" s="260">
        <f t="shared" si="16"/>
        <v>2.2439573064501801E-11</v>
      </c>
      <c r="T81" s="260">
        <f t="shared" si="16"/>
        <v>2.1799199617551585E-11</v>
      </c>
      <c r="U81" s="260">
        <f t="shared" si="16"/>
        <v>2.1496531316637104E-11</v>
      </c>
      <c r="V81" s="260">
        <f t="shared" si="16"/>
        <v>2.1214376572713386E-11</v>
      </c>
      <c r="W81" s="260">
        <f t="shared" si="16"/>
        <v>2.0943295079308419E-11</v>
      </c>
      <c r="X81" s="260">
        <f t="shared" si="16"/>
        <v>2.0731209752525542E-11</v>
      </c>
      <c r="Y81" s="260">
        <f t="shared" si="16"/>
        <v>2.0497394900929068E-11</v>
      </c>
      <c r="Z81" s="260">
        <f t="shared" si="16"/>
        <v>2.022035132815858E-11</v>
      </c>
      <c r="AA81" s="260">
        <f t="shared" si="16"/>
        <v>2.00114765844736E-11</v>
      </c>
      <c r="AB81" s="260">
        <f t="shared" si="16"/>
        <v>1.9817048409928401E-11</v>
      </c>
      <c r="AC81" s="260">
        <f t="shared" si="16"/>
        <v>1.9562458335917409E-11</v>
      </c>
      <c r="AD81" s="260">
        <f t="shared" si="16"/>
        <v>1.9301464659050414E-11</v>
      </c>
      <c r="AE81" s="260">
        <f t="shared" si="16"/>
        <v>1.9068544854934546E-11</v>
      </c>
      <c r="AF81" s="260">
        <f t="shared" si="16"/>
        <v>1.8835270901923541E-11</v>
      </c>
      <c r="AG81" s="260">
        <f t="shared" si="16"/>
        <v>1.8627005924177896E-11</v>
      </c>
      <c r="AH81" s="260">
        <f t="shared" si="16"/>
        <v>1.8419979679380256E-11</v>
      </c>
      <c r="AI81" s="260">
        <f t="shared" si="16"/>
        <v>1.8189894238930113E-11</v>
      </c>
      <c r="AJ81" s="260">
        <f t="shared" si="16"/>
        <v>1.7992390133480721E-11</v>
      </c>
      <c r="AK81" s="322"/>
    </row>
    <row r="82" spans="1:37" s="256" customFormat="1">
      <c r="A82" s="257" t="s">
        <v>340</v>
      </c>
      <c r="B82" s="260">
        <f t="shared" si="15"/>
        <v>0.3</v>
      </c>
      <c r="C82" s="260">
        <f t="shared" ref="C82:AA82" si="17">C75/SUM(C$74:C$78)</f>
        <v>0.3165137614678899</v>
      </c>
      <c r="D82" s="260">
        <f t="shared" si="17"/>
        <v>0.27304147465437784</v>
      </c>
      <c r="E82" s="260">
        <f t="shared" si="17"/>
        <v>0.21168831168831168</v>
      </c>
      <c r="F82" s="260">
        <f t="shared" si="17"/>
        <v>0.19293924466338258</v>
      </c>
      <c r="G82" s="260">
        <f t="shared" si="17"/>
        <v>0.26217184856266412</v>
      </c>
      <c r="H82" s="260">
        <f t="shared" si="17"/>
        <v>0.25206751363743063</v>
      </c>
      <c r="I82" s="260">
        <f t="shared" si="17"/>
        <v>0.11022606205862931</v>
      </c>
      <c r="J82" s="260">
        <f t="shared" si="17"/>
        <v>0.1105453036478686</v>
      </c>
      <c r="K82" s="260">
        <f t="shared" si="17"/>
        <v>0.10342407641809187</v>
      </c>
      <c r="L82" s="260">
        <f t="shared" si="17"/>
        <v>9.6223498523815232E-2</v>
      </c>
      <c r="M82" s="260">
        <f t="shared" si="17"/>
        <v>9.5021079550491369E-2</v>
      </c>
      <c r="N82" s="260">
        <f t="shared" si="17"/>
        <v>9.2214861615644517E-2</v>
      </c>
      <c r="O82" s="260">
        <f t="shared" si="17"/>
        <v>9.0456567541840407E-2</v>
      </c>
      <c r="P82" s="261">
        <f t="shared" si="17"/>
        <v>8.7822339187102555E-2</v>
      </c>
      <c r="Q82" s="260">
        <f t="shared" si="17"/>
        <v>8.6193127938659742E-2</v>
      </c>
      <c r="R82" s="260">
        <f t="shared" si="17"/>
        <v>8.4073579017515387E-2</v>
      </c>
      <c r="S82" s="260">
        <f t="shared" si="17"/>
        <v>8.2888460389107202E-2</v>
      </c>
      <c r="T82" s="260">
        <f t="shared" si="17"/>
        <v>8.0509619454496584E-2</v>
      </c>
      <c r="U82" s="260">
        <f t="shared" si="17"/>
        <v>7.9378680458051493E-2</v>
      </c>
      <c r="V82" s="260">
        <f t="shared" si="17"/>
        <v>7.8320683779481662E-2</v>
      </c>
      <c r="W82" s="260">
        <f t="shared" si="17"/>
        <v>7.7302568544045491E-2</v>
      </c>
      <c r="X82" s="260">
        <f t="shared" si="17"/>
        <v>7.6500361909726824E-2</v>
      </c>
      <c r="Y82" s="260">
        <f t="shared" si="17"/>
        <v>7.5608663057871353E-2</v>
      </c>
      <c r="Z82" s="260">
        <f t="shared" si="17"/>
        <v>7.4528532332291994E-2</v>
      </c>
      <c r="AA82" s="260">
        <f t="shared" si="17"/>
        <v>7.370123898341735E-2</v>
      </c>
      <c r="AB82" s="260">
        <f t="shared" si="16"/>
        <v>7.2928846077117665E-2</v>
      </c>
      <c r="AC82" s="260">
        <f t="shared" si="16"/>
        <v>7.1937653101728352E-2</v>
      </c>
      <c r="AD82" s="260">
        <f t="shared" si="16"/>
        <v>7.0927831017418341E-2</v>
      </c>
      <c r="AE82" s="260">
        <f t="shared" si="16"/>
        <v>7.0022798770355457E-2</v>
      </c>
      <c r="AF82" s="260">
        <f t="shared" si="16"/>
        <v>6.9119283829386882E-2</v>
      </c>
      <c r="AG82" s="260">
        <f t="shared" si="16"/>
        <v>6.8310747165106364E-2</v>
      </c>
      <c r="AH82" s="260">
        <f t="shared" si="16"/>
        <v>6.7505742779419994E-2</v>
      </c>
      <c r="AI82" s="260">
        <f t="shared" si="16"/>
        <v>6.6625618592548522E-2</v>
      </c>
      <c r="AJ82" s="260">
        <f t="shared" si="16"/>
        <v>6.5868057959575677E-2</v>
      </c>
      <c r="AK82" s="322"/>
    </row>
    <row r="83" spans="1:37" s="256" customFormat="1">
      <c r="A83" s="257" t="s">
        <v>336</v>
      </c>
      <c r="B83" s="260">
        <f>B76/SUM(B$74:B$78)</f>
        <v>0.61919999999999997</v>
      </c>
      <c r="C83" s="260">
        <f t="shared" ref="C83:AJ83" si="18">C76/SUM(C$74:C$78)</f>
        <v>0.60015290519877673</v>
      </c>
      <c r="D83" s="260">
        <f t="shared" si="18"/>
        <v>0.4464285714285714</v>
      </c>
      <c r="E83" s="260">
        <f t="shared" si="18"/>
        <v>0.33290043290043292</v>
      </c>
      <c r="F83" s="260">
        <f t="shared" si="18"/>
        <v>0.36042692939244664</v>
      </c>
      <c r="G83" s="260">
        <f t="shared" si="18"/>
        <v>0.3961406889839087</v>
      </c>
      <c r="H83" s="260">
        <f t="shared" si="18"/>
        <v>0.39132057893927119</v>
      </c>
      <c r="I83" s="260">
        <f t="shared" si="18"/>
        <v>0.46473919192946378</v>
      </c>
      <c r="J83" s="260">
        <f t="shared" si="18"/>
        <v>0.48987358278003507</v>
      </c>
      <c r="K83" s="260">
        <f t="shared" si="18"/>
        <v>0.45602643164812307</v>
      </c>
      <c r="L83" s="260">
        <f t="shared" si="18"/>
        <v>0.45061506320536482</v>
      </c>
      <c r="M83" s="260">
        <f t="shared" si="18"/>
        <v>0.45734315226994177</v>
      </c>
      <c r="N83" s="260">
        <f t="shared" si="18"/>
        <v>0.47340644305419061</v>
      </c>
      <c r="O83" s="260">
        <f t="shared" si="18"/>
        <v>0.48337219152647737</v>
      </c>
      <c r="P83" s="261">
        <f t="shared" si="18"/>
        <v>0.49829145755983012</v>
      </c>
      <c r="Q83" s="260">
        <f t="shared" si="18"/>
        <v>0.50758964773460602</v>
      </c>
      <c r="R83" s="260">
        <f t="shared" si="18"/>
        <v>0.51963287253658674</v>
      </c>
      <c r="S83" s="260">
        <f t="shared" si="18"/>
        <v>0.52635239021178704</v>
      </c>
      <c r="T83" s="260">
        <f t="shared" si="18"/>
        <v>0.53988478057822775</v>
      </c>
      <c r="U83" s="260">
        <f t="shared" si="18"/>
        <v>0.54629910471654475</v>
      </c>
      <c r="V83" s="260">
        <f t="shared" si="18"/>
        <v>0.55227658506708699</v>
      </c>
      <c r="W83" s="260">
        <f t="shared" si="18"/>
        <v>0.55807801547125246</v>
      </c>
      <c r="X83" s="260">
        <f t="shared" si="18"/>
        <v>0.56258685702344757</v>
      </c>
      <c r="Y83" s="260">
        <f t="shared" si="18"/>
        <v>0.56756034345632866</v>
      </c>
      <c r="Z83" s="260">
        <f t="shared" si="18"/>
        <v>0.57348949827387219</v>
      </c>
      <c r="AA83" s="260">
        <f t="shared" si="18"/>
        <v>0.57794293492886339</v>
      </c>
      <c r="AB83" s="260">
        <f t="shared" si="18"/>
        <v>0.58208008619268048</v>
      </c>
      <c r="AC83" s="260">
        <f t="shared" si="18"/>
        <v>0.5873567258105673</v>
      </c>
      <c r="AD83" s="260">
        <f t="shared" si="18"/>
        <v>0.5925985373854209</v>
      </c>
      <c r="AE83" s="260">
        <f t="shared" si="18"/>
        <v>0.59725087816623113</v>
      </c>
      <c r="AF83" s="260">
        <f t="shared" si="18"/>
        <v>0.60225177560053533</v>
      </c>
      <c r="AG83" s="260">
        <f t="shared" si="18"/>
        <v>0.6061682367828416</v>
      </c>
      <c r="AH83" s="260">
        <f t="shared" si="18"/>
        <v>0.61023636125339298</v>
      </c>
      <c r="AI83" s="260">
        <f t="shared" si="18"/>
        <v>0.61459829493455165</v>
      </c>
      <c r="AJ83" s="260">
        <f t="shared" si="18"/>
        <v>0.61794640596047001</v>
      </c>
      <c r="AK83" s="322"/>
    </row>
    <row r="84" spans="1:37" s="256" customFormat="1">
      <c r="A84" s="257" t="s">
        <v>338</v>
      </c>
      <c r="B84" s="260">
        <f>B77/SUM(B$74:B$78)</f>
        <v>0</v>
      </c>
      <c r="C84" s="260">
        <f t="shared" ref="C84:AJ84" si="19">C77/SUM(C$74:C$78)</f>
        <v>0</v>
      </c>
      <c r="D84" s="260">
        <f t="shared" si="19"/>
        <v>0</v>
      </c>
      <c r="E84" s="260">
        <f t="shared" si="19"/>
        <v>0</v>
      </c>
      <c r="F84" s="260">
        <f t="shared" si="19"/>
        <v>0</v>
      </c>
      <c r="G84" s="260">
        <f t="shared" si="19"/>
        <v>0</v>
      </c>
      <c r="H84" s="260">
        <f t="shared" si="19"/>
        <v>0</v>
      </c>
      <c r="I84" s="260">
        <f t="shared" si="19"/>
        <v>0</v>
      </c>
      <c r="J84" s="260">
        <f t="shared" si="19"/>
        <v>0</v>
      </c>
      <c r="K84" s="260">
        <f t="shared" si="19"/>
        <v>0</v>
      </c>
      <c r="L84" s="260">
        <f t="shared" si="19"/>
        <v>0</v>
      </c>
      <c r="M84" s="260">
        <f t="shared" si="19"/>
        <v>0</v>
      </c>
      <c r="N84" s="260">
        <f t="shared" si="19"/>
        <v>0</v>
      </c>
      <c r="O84" s="260">
        <f t="shared" si="19"/>
        <v>0</v>
      </c>
      <c r="P84" s="261">
        <f t="shared" si="19"/>
        <v>0</v>
      </c>
      <c r="Q84" s="260">
        <f t="shared" si="19"/>
        <v>0</v>
      </c>
      <c r="R84" s="260">
        <f t="shared" si="19"/>
        <v>0</v>
      </c>
      <c r="S84" s="260">
        <f t="shared" si="19"/>
        <v>0</v>
      </c>
      <c r="T84" s="260">
        <f t="shared" si="19"/>
        <v>0</v>
      </c>
      <c r="U84" s="260">
        <f t="shared" si="19"/>
        <v>0</v>
      </c>
      <c r="V84" s="260">
        <f t="shared" si="19"/>
        <v>0</v>
      </c>
      <c r="W84" s="260">
        <f t="shared" si="19"/>
        <v>0</v>
      </c>
      <c r="X84" s="260">
        <f t="shared" si="19"/>
        <v>0</v>
      </c>
      <c r="Y84" s="260">
        <f t="shared" si="19"/>
        <v>0</v>
      </c>
      <c r="Z84" s="260">
        <f t="shared" si="19"/>
        <v>0</v>
      </c>
      <c r="AA84" s="260">
        <f t="shared" si="19"/>
        <v>0</v>
      </c>
      <c r="AB84" s="260">
        <f t="shared" si="19"/>
        <v>0</v>
      </c>
      <c r="AC84" s="260">
        <f t="shared" si="19"/>
        <v>0</v>
      </c>
      <c r="AD84" s="260">
        <f t="shared" si="19"/>
        <v>0</v>
      </c>
      <c r="AE84" s="260">
        <f t="shared" si="19"/>
        <v>0</v>
      </c>
      <c r="AF84" s="260">
        <f t="shared" si="19"/>
        <v>0</v>
      </c>
      <c r="AG84" s="260">
        <f t="shared" si="19"/>
        <v>0</v>
      </c>
      <c r="AH84" s="260">
        <f t="shared" si="19"/>
        <v>0</v>
      </c>
      <c r="AI84" s="260">
        <f t="shared" si="19"/>
        <v>0</v>
      </c>
      <c r="AJ84" s="260">
        <f t="shared" si="19"/>
        <v>0</v>
      </c>
      <c r="AK84" s="322"/>
    </row>
    <row r="85" spans="1:37" s="256" customFormat="1">
      <c r="A85" s="257" t="s">
        <v>337</v>
      </c>
      <c r="B85" s="260">
        <f>B78/SUM(B$74:B$78)</f>
        <v>8.0800000000000011E-2</v>
      </c>
      <c r="C85" s="260">
        <f t="shared" ref="C85:AJ85" si="20">C78/SUM(C$74:C$78)</f>
        <v>8.3333333333333329E-2</v>
      </c>
      <c r="D85" s="260">
        <f t="shared" si="20"/>
        <v>0.28052995391705066</v>
      </c>
      <c r="E85" s="260">
        <f t="shared" si="20"/>
        <v>0.45541125541125543</v>
      </c>
      <c r="F85" s="260">
        <f t="shared" si="20"/>
        <v>0.44663382594417084</v>
      </c>
      <c r="G85" s="260">
        <f t="shared" si="20"/>
        <v>0.34168746242074349</v>
      </c>
      <c r="H85" s="260">
        <f t="shared" si="20"/>
        <v>0.35661190739416221</v>
      </c>
      <c r="I85" s="260">
        <f t="shared" si="20"/>
        <v>0.42503474597912388</v>
      </c>
      <c r="J85" s="260">
        <f t="shared" si="20"/>
        <v>0.39958111354162668</v>
      </c>
      <c r="K85" s="260">
        <f t="shared" si="20"/>
        <v>0.44054949190579595</v>
      </c>
      <c r="L85" s="260">
        <f t="shared" si="20"/>
        <v>0.45316143824478633</v>
      </c>
      <c r="M85" s="260">
        <f t="shared" si="20"/>
        <v>0.44763576815386413</v>
      </c>
      <c r="N85" s="260">
        <f t="shared" si="20"/>
        <v>0.43437869530522355</v>
      </c>
      <c r="O85" s="260">
        <f t="shared" si="20"/>
        <v>0.42617124090721231</v>
      </c>
      <c r="P85" s="261">
        <f t="shared" si="20"/>
        <v>0.41388620322930331</v>
      </c>
      <c r="Q85" s="260">
        <f t="shared" si="20"/>
        <v>0.40621722430340751</v>
      </c>
      <c r="R85" s="260">
        <f t="shared" si="20"/>
        <v>0.39629354842314152</v>
      </c>
      <c r="S85" s="260">
        <f t="shared" si="20"/>
        <v>0.39075914937666612</v>
      </c>
      <c r="T85" s="260">
        <f t="shared" si="20"/>
        <v>0.37960559994547638</v>
      </c>
      <c r="U85" s="260">
        <f t="shared" si="20"/>
        <v>0.37432221480390721</v>
      </c>
      <c r="V85" s="260">
        <f t="shared" si="20"/>
        <v>0.36940273113221689</v>
      </c>
      <c r="W85" s="260">
        <f t="shared" si="20"/>
        <v>0.36461941596375858</v>
      </c>
      <c r="X85" s="260">
        <f t="shared" si="20"/>
        <v>0.36091278104609431</v>
      </c>
      <c r="Y85" s="260">
        <f t="shared" si="20"/>
        <v>0.3568309934653025</v>
      </c>
      <c r="Z85" s="260">
        <f t="shared" si="20"/>
        <v>0.35198196937361537</v>
      </c>
      <c r="AA85" s="260">
        <f t="shared" si="20"/>
        <v>0.34835582606770776</v>
      </c>
      <c r="AB85" s="260">
        <f t="shared" si="20"/>
        <v>0.34499106771038485</v>
      </c>
      <c r="AC85" s="260">
        <f t="shared" si="20"/>
        <v>0.34070562106814178</v>
      </c>
      <c r="AD85" s="260">
        <f t="shared" si="20"/>
        <v>0.33647363157785926</v>
      </c>
      <c r="AE85" s="260">
        <f t="shared" si="20"/>
        <v>0.33272632304434491</v>
      </c>
      <c r="AF85" s="260">
        <f t="shared" si="20"/>
        <v>0.32862894055124242</v>
      </c>
      <c r="AG85" s="260">
        <f t="shared" si="20"/>
        <v>0.32552101603342493</v>
      </c>
      <c r="AH85" s="260">
        <f t="shared" si="20"/>
        <v>0.32225789594876708</v>
      </c>
      <c r="AI85" s="260">
        <f t="shared" si="20"/>
        <v>0.31877608645470989</v>
      </c>
      <c r="AJ85" s="260">
        <f t="shared" si="20"/>
        <v>0.31618553606196187</v>
      </c>
      <c r="AK85" s="322"/>
    </row>
    <row r="86" spans="1:37" s="256" customFormat="1">
      <c r="A86" s="256" t="s">
        <v>341</v>
      </c>
      <c r="B86" s="260">
        <f>SUM(B81:B85)</f>
        <v>1</v>
      </c>
      <c r="C86" s="260">
        <f t="shared" ref="C86:AJ86" si="21">SUM(C81:C85)</f>
        <v>1</v>
      </c>
      <c r="D86" s="260">
        <f t="shared" si="21"/>
        <v>1</v>
      </c>
      <c r="E86" s="260">
        <f t="shared" si="21"/>
        <v>1</v>
      </c>
      <c r="F86" s="260">
        <f t="shared" si="21"/>
        <v>1</v>
      </c>
      <c r="G86" s="260">
        <f t="shared" si="21"/>
        <v>1.0000000000000002</v>
      </c>
      <c r="H86" s="260">
        <f t="shared" si="21"/>
        <v>1</v>
      </c>
      <c r="I86" s="260">
        <f t="shared" si="21"/>
        <v>1.0000000000000002</v>
      </c>
      <c r="J86" s="260">
        <f t="shared" si="21"/>
        <v>1</v>
      </c>
      <c r="K86" s="260">
        <f t="shared" si="21"/>
        <v>1</v>
      </c>
      <c r="L86" s="260">
        <f t="shared" si="21"/>
        <v>1</v>
      </c>
      <c r="M86" s="260">
        <f t="shared" si="21"/>
        <v>1</v>
      </c>
      <c r="N86" s="260">
        <f t="shared" si="21"/>
        <v>0.99999999999999989</v>
      </c>
      <c r="O86" s="260">
        <f t="shared" si="21"/>
        <v>1</v>
      </c>
      <c r="P86" s="260">
        <f t="shared" si="21"/>
        <v>0.99999999999999978</v>
      </c>
      <c r="Q86" s="260">
        <f t="shared" si="21"/>
        <v>1</v>
      </c>
      <c r="R86" s="260">
        <f t="shared" si="21"/>
        <v>1.0000000000000002</v>
      </c>
      <c r="S86" s="260">
        <f t="shared" si="21"/>
        <v>0.99999999999999989</v>
      </c>
      <c r="T86" s="260">
        <f t="shared" si="21"/>
        <v>0.99999999999999989</v>
      </c>
      <c r="U86" s="260">
        <f t="shared" si="21"/>
        <v>1</v>
      </c>
      <c r="V86" s="260">
        <f t="shared" si="21"/>
        <v>0.99999999999999989</v>
      </c>
      <c r="W86" s="260">
        <f t="shared" si="21"/>
        <v>0.99999999999999978</v>
      </c>
      <c r="X86" s="260">
        <f t="shared" si="21"/>
        <v>1</v>
      </c>
      <c r="Y86" s="260">
        <f t="shared" si="21"/>
        <v>1</v>
      </c>
      <c r="Z86" s="260">
        <f t="shared" si="21"/>
        <v>0.99999999999999989</v>
      </c>
      <c r="AA86" s="260">
        <f t="shared" si="21"/>
        <v>1</v>
      </c>
      <c r="AB86" s="260">
        <f t="shared" si="21"/>
        <v>1</v>
      </c>
      <c r="AC86" s="260">
        <f t="shared" si="21"/>
        <v>1</v>
      </c>
      <c r="AD86" s="260">
        <f t="shared" si="21"/>
        <v>1</v>
      </c>
      <c r="AE86" s="260">
        <f t="shared" si="21"/>
        <v>1</v>
      </c>
      <c r="AF86" s="260">
        <f t="shared" si="21"/>
        <v>1</v>
      </c>
      <c r="AG86" s="260">
        <f t="shared" si="21"/>
        <v>1</v>
      </c>
      <c r="AH86" s="260">
        <f t="shared" si="21"/>
        <v>1</v>
      </c>
      <c r="AI86" s="260">
        <f t="shared" si="21"/>
        <v>1</v>
      </c>
      <c r="AJ86" s="260">
        <f t="shared" si="21"/>
        <v>1</v>
      </c>
      <c r="AK86" s="322"/>
    </row>
    <row r="87" spans="1:37">
      <c r="A87" s="561" t="s">
        <v>632</v>
      </c>
      <c r="B87" s="561"/>
      <c r="C87" s="561"/>
      <c r="D87" s="561"/>
      <c r="E87" s="561"/>
      <c r="F87" s="561"/>
      <c r="G87" s="561"/>
      <c r="H87" s="561"/>
      <c r="I87" s="561"/>
      <c r="J87" s="561"/>
      <c r="K87" s="561"/>
      <c r="L87" s="561"/>
      <c r="M87" s="561"/>
      <c r="N87" s="561"/>
      <c r="O87" s="561"/>
      <c r="P87" s="561"/>
      <c r="Q87" s="561"/>
      <c r="R87" s="561"/>
      <c r="S87" s="561"/>
      <c r="T87" s="561"/>
      <c r="U87" s="561"/>
      <c r="V87" s="561"/>
      <c r="W87" s="561"/>
      <c r="X87" s="561"/>
      <c r="Y87" s="561"/>
      <c r="Z87" s="561"/>
      <c r="AA87" s="561"/>
      <c r="AB87" s="561"/>
      <c r="AC87" s="561"/>
      <c r="AD87" s="561"/>
      <c r="AE87" s="561"/>
      <c r="AF87" s="561"/>
    </row>
    <row r="88" spans="1:37">
      <c r="A88" s="560" t="s">
        <v>665</v>
      </c>
      <c r="B88" s="560"/>
      <c r="C88" s="560"/>
      <c r="D88" s="560"/>
      <c r="E88" s="560"/>
      <c r="F88" s="560"/>
      <c r="G88" s="560"/>
      <c r="H88" s="560"/>
      <c r="I88" s="560"/>
      <c r="J88" s="560"/>
      <c r="K88" s="560"/>
      <c r="L88" s="560"/>
      <c r="M88" s="560"/>
      <c r="N88" s="560"/>
      <c r="O88" s="560"/>
      <c r="P88" s="560"/>
      <c r="Q88" s="560"/>
      <c r="R88" s="560"/>
      <c r="S88" s="560"/>
      <c r="T88" s="560"/>
      <c r="U88" s="560"/>
      <c r="V88" s="560"/>
      <c r="W88" s="560"/>
      <c r="X88" s="560"/>
      <c r="Y88" s="560"/>
      <c r="Z88" s="560"/>
      <c r="AA88" s="560"/>
      <c r="AB88" s="560"/>
      <c r="AC88" s="560"/>
      <c r="AD88" s="560"/>
      <c r="AE88" s="560"/>
      <c r="AF88" s="560"/>
    </row>
    <row r="89" spans="1:37">
      <c r="A89" s="560" t="s">
        <v>666</v>
      </c>
      <c r="B89" s="560"/>
      <c r="C89" s="560"/>
      <c r="D89" s="560"/>
      <c r="E89" s="560"/>
      <c r="F89" s="560"/>
      <c r="G89" s="560"/>
      <c r="H89" s="560"/>
      <c r="I89" s="560"/>
      <c r="J89" s="560"/>
      <c r="K89" s="560"/>
      <c r="L89" s="560"/>
      <c r="M89" s="560"/>
      <c r="N89" s="560"/>
      <c r="O89" s="560"/>
      <c r="P89" s="560"/>
      <c r="Q89" s="560"/>
      <c r="R89" s="560"/>
      <c r="S89" s="560"/>
      <c r="T89" s="560"/>
      <c r="U89" s="560"/>
      <c r="V89" s="560"/>
      <c r="W89" s="560"/>
      <c r="X89" s="560"/>
      <c r="Y89" s="560"/>
      <c r="Z89" s="560"/>
      <c r="AA89" s="560"/>
      <c r="AB89" s="560"/>
      <c r="AC89" s="560"/>
      <c r="AD89" s="560"/>
      <c r="AE89" s="560"/>
      <c r="AF89" s="560"/>
    </row>
    <row r="90" spans="1:37">
      <c r="A90" s="560" t="s">
        <v>667</v>
      </c>
      <c r="B90" s="560"/>
      <c r="C90" s="560"/>
      <c r="D90" s="560"/>
      <c r="E90" s="560"/>
      <c r="F90" s="560"/>
      <c r="G90" s="560"/>
      <c r="H90" s="560"/>
      <c r="I90" s="560"/>
      <c r="J90" s="560"/>
      <c r="K90" s="560"/>
      <c r="L90" s="560"/>
      <c r="M90" s="560"/>
      <c r="N90" s="560"/>
      <c r="O90" s="560"/>
      <c r="P90" s="560"/>
      <c r="Q90" s="560"/>
      <c r="R90" s="560"/>
      <c r="S90" s="560"/>
      <c r="T90" s="560"/>
      <c r="U90" s="560"/>
      <c r="V90" s="560"/>
      <c r="W90" s="560"/>
      <c r="X90" s="560"/>
      <c r="Y90" s="560"/>
      <c r="Z90" s="560"/>
      <c r="AA90" s="560"/>
      <c r="AB90" s="560"/>
      <c r="AC90" s="560"/>
      <c r="AD90" s="560"/>
      <c r="AE90" s="560"/>
      <c r="AF90" s="560"/>
    </row>
    <row r="91" spans="1:37">
      <c r="A91" s="560" t="s">
        <v>668</v>
      </c>
      <c r="B91" s="560"/>
      <c r="C91" s="560"/>
      <c r="D91" s="560"/>
      <c r="E91" s="560"/>
      <c r="F91" s="560"/>
      <c r="G91" s="560"/>
      <c r="H91" s="560"/>
      <c r="I91" s="560"/>
      <c r="J91" s="560"/>
      <c r="K91" s="560"/>
      <c r="L91" s="560"/>
      <c r="M91" s="560"/>
      <c r="N91" s="560"/>
      <c r="O91" s="560"/>
      <c r="P91" s="560"/>
      <c r="Q91" s="560"/>
      <c r="R91" s="560"/>
      <c r="S91" s="560"/>
      <c r="T91" s="560"/>
      <c r="U91" s="560"/>
      <c r="V91" s="560"/>
      <c r="W91" s="560"/>
      <c r="X91" s="560"/>
      <c r="Y91" s="560"/>
      <c r="Z91" s="560"/>
      <c r="AA91" s="560"/>
      <c r="AB91" s="560"/>
      <c r="AC91" s="560"/>
      <c r="AD91" s="560"/>
      <c r="AE91" s="560"/>
      <c r="AF91" s="560"/>
    </row>
    <row r="92" spans="1:37">
      <c r="A92" s="560" t="s">
        <v>669</v>
      </c>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row>
    <row r="93" spans="1:37">
      <c r="A93" s="560" t="s">
        <v>670</v>
      </c>
      <c r="B93" s="560"/>
      <c r="C93" s="560"/>
      <c r="D93" s="560"/>
      <c r="E93" s="560"/>
      <c r="F93" s="560"/>
      <c r="G93" s="560"/>
      <c r="H93" s="560"/>
      <c r="I93" s="560"/>
      <c r="J93" s="560"/>
      <c r="K93" s="560"/>
      <c r="L93" s="560"/>
      <c r="M93" s="560"/>
      <c r="N93" s="560"/>
      <c r="O93" s="560"/>
      <c r="P93" s="560"/>
      <c r="Q93" s="560"/>
      <c r="R93" s="560"/>
      <c r="S93" s="560"/>
      <c r="T93" s="560"/>
      <c r="U93" s="560"/>
      <c r="V93" s="560"/>
      <c r="W93" s="560"/>
      <c r="X93" s="560"/>
      <c r="Y93" s="560"/>
      <c r="Z93" s="560"/>
      <c r="AA93" s="560"/>
      <c r="AB93" s="560"/>
      <c r="AC93" s="560"/>
      <c r="AD93" s="560"/>
      <c r="AE93" s="560"/>
      <c r="AF93" s="560"/>
    </row>
    <row r="94" spans="1:37">
      <c r="A94" s="560" t="s">
        <v>671</v>
      </c>
      <c r="B94" s="560"/>
      <c r="C94" s="560"/>
      <c r="D94" s="560"/>
      <c r="E94" s="560"/>
      <c r="F94" s="560"/>
      <c r="G94" s="560"/>
      <c r="H94" s="560"/>
      <c r="I94" s="560"/>
      <c r="J94" s="560"/>
      <c r="K94" s="560"/>
      <c r="L94" s="560"/>
      <c r="M94" s="560"/>
      <c r="N94" s="560"/>
      <c r="O94" s="560"/>
      <c r="P94" s="560"/>
      <c r="Q94" s="560"/>
      <c r="R94" s="560"/>
      <c r="S94" s="560"/>
      <c r="T94" s="560"/>
      <c r="U94" s="560"/>
      <c r="V94" s="560"/>
      <c r="W94" s="560"/>
      <c r="X94" s="560"/>
      <c r="Y94" s="560"/>
      <c r="Z94" s="560"/>
      <c r="AA94" s="560"/>
      <c r="AB94" s="560"/>
      <c r="AC94" s="560"/>
      <c r="AD94" s="560"/>
      <c r="AE94" s="560"/>
      <c r="AF94" s="560"/>
    </row>
    <row r="95" spans="1:37">
      <c r="A95" s="560" t="s">
        <v>672</v>
      </c>
      <c r="B95" s="560"/>
      <c r="C95" s="560"/>
      <c r="D95" s="560"/>
      <c r="E95" s="560"/>
      <c r="F95" s="560"/>
      <c r="G95" s="560"/>
      <c r="H95" s="560"/>
      <c r="I95" s="560"/>
      <c r="J95" s="560"/>
      <c r="K95" s="560"/>
      <c r="L95" s="560"/>
      <c r="M95" s="560"/>
      <c r="N95" s="560"/>
      <c r="O95" s="560"/>
      <c r="P95" s="560"/>
      <c r="Q95" s="560"/>
      <c r="R95" s="560"/>
      <c r="S95" s="560"/>
      <c r="T95" s="560"/>
      <c r="U95" s="560"/>
      <c r="V95" s="560"/>
      <c r="W95" s="560"/>
      <c r="X95" s="560"/>
      <c r="Y95" s="560"/>
      <c r="Z95" s="560"/>
      <c r="AA95" s="560"/>
      <c r="AB95" s="560"/>
      <c r="AC95" s="560"/>
      <c r="AD95" s="560"/>
      <c r="AE95" s="560"/>
      <c r="AF95" s="560"/>
    </row>
    <row r="96" spans="1:37">
      <c r="A96" s="560" t="s">
        <v>673</v>
      </c>
      <c r="B96" s="560"/>
      <c r="C96" s="560"/>
      <c r="D96" s="560"/>
      <c r="E96" s="560"/>
      <c r="F96" s="560"/>
      <c r="G96" s="560"/>
      <c r="H96" s="560"/>
      <c r="I96" s="560"/>
      <c r="J96" s="560"/>
      <c r="K96" s="560"/>
      <c r="L96" s="560"/>
      <c r="M96" s="560"/>
      <c r="N96" s="560"/>
      <c r="O96" s="560"/>
      <c r="P96" s="560"/>
      <c r="Q96" s="560"/>
      <c r="R96" s="560"/>
      <c r="S96" s="560"/>
      <c r="T96" s="560"/>
      <c r="U96" s="560"/>
      <c r="V96" s="560"/>
      <c r="W96" s="560"/>
      <c r="X96" s="560"/>
      <c r="Y96" s="560"/>
      <c r="Z96" s="560"/>
      <c r="AA96" s="560"/>
      <c r="AB96" s="560"/>
      <c r="AC96" s="560"/>
      <c r="AD96" s="560"/>
      <c r="AE96" s="560"/>
      <c r="AF96" s="560"/>
    </row>
    <row r="97" spans="1:32">
      <c r="A97" s="560" t="s">
        <v>674</v>
      </c>
      <c r="B97" s="560"/>
      <c r="C97" s="560"/>
      <c r="D97" s="560"/>
      <c r="E97" s="560"/>
      <c r="F97" s="560"/>
      <c r="G97" s="560"/>
      <c r="H97" s="560"/>
      <c r="I97" s="560"/>
      <c r="J97" s="560"/>
      <c r="K97" s="560"/>
      <c r="L97" s="560"/>
      <c r="M97" s="560"/>
      <c r="N97" s="560"/>
      <c r="O97" s="560"/>
      <c r="P97" s="560"/>
      <c r="Q97" s="560"/>
      <c r="R97" s="560"/>
      <c r="S97" s="560"/>
      <c r="T97" s="560"/>
      <c r="U97" s="560"/>
      <c r="V97" s="560"/>
      <c r="W97" s="560"/>
      <c r="X97" s="560"/>
      <c r="Y97" s="560"/>
      <c r="Z97" s="560"/>
      <c r="AA97" s="560"/>
      <c r="AB97" s="560"/>
      <c r="AC97" s="560"/>
      <c r="AD97" s="560"/>
      <c r="AE97" s="560"/>
      <c r="AF97" s="560"/>
    </row>
    <row r="98" spans="1:32">
      <c r="A98" s="560" t="s">
        <v>675</v>
      </c>
      <c r="B98" s="560"/>
      <c r="C98" s="560"/>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row>
    <row r="99" spans="1:32">
      <c r="A99" s="560" t="s">
        <v>676</v>
      </c>
      <c r="B99" s="560"/>
      <c r="C99" s="560"/>
      <c r="D99" s="560"/>
      <c r="E99" s="560"/>
      <c r="F99" s="560"/>
      <c r="G99" s="560"/>
      <c r="H99" s="560"/>
      <c r="I99" s="560"/>
      <c r="J99" s="560"/>
      <c r="K99" s="560"/>
      <c r="L99" s="560"/>
      <c r="M99" s="560"/>
      <c r="N99" s="560"/>
      <c r="O99" s="560"/>
      <c r="P99" s="560"/>
      <c r="Q99" s="560"/>
      <c r="R99" s="560"/>
      <c r="S99" s="560"/>
      <c r="T99" s="560"/>
      <c r="U99" s="560"/>
      <c r="V99" s="560"/>
      <c r="W99" s="560"/>
      <c r="X99" s="560"/>
      <c r="Y99" s="560"/>
      <c r="Z99" s="560"/>
      <c r="AA99" s="560"/>
      <c r="AB99" s="560"/>
      <c r="AC99" s="560"/>
      <c r="AD99" s="560"/>
      <c r="AE99" s="560"/>
      <c r="AF99" s="560"/>
    </row>
    <row r="100" spans="1:32">
      <c r="A100" s="560" t="s">
        <v>677</v>
      </c>
      <c r="B100" s="560"/>
      <c r="C100" s="560"/>
      <c r="D100" s="560"/>
      <c r="E100" s="560"/>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c r="AB100" s="560"/>
      <c r="AC100" s="560"/>
      <c r="AD100" s="560"/>
      <c r="AE100" s="560"/>
      <c r="AF100" s="560"/>
    </row>
    <row r="101" spans="1:32">
      <c r="A101" s="560" t="s">
        <v>678</v>
      </c>
      <c r="B101" s="560"/>
      <c r="C101" s="560"/>
      <c r="D101" s="560"/>
      <c r="E101" s="560"/>
      <c r="F101" s="560"/>
      <c r="G101" s="560"/>
      <c r="H101" s="560"/>
      <c r="I101" s="560"/>
      <c r="J101" s="560"/>
      <c r="K101" s="560"/>
      <c r="L101" s="560"/>
      <c r="M101" s="560"/>
      <c r="N101" s="560"/>
      <c r="O101" s="560"/>
      <c r="P101" s="560"/>
      <c r="Q101" s="560"/>
      <c r="R101" s="560"/>
      <c r="S101" s="560"/>
      <c r="T101" s="560"/>
      <c r="U101" s="560"/>
      <c r="V101" s="560"/>
      <c r="W101" s="560"/>
      <c r="X101" s="560"/>
      <c r="Y101" s="560"/>
      <c r="Z101" s="560"/>
      <c r="AA101" s="560"/>
      <c r="AB101" s="560"/>
      <c r="AC101" s="560"/>
      <c r="AD101" s="560"/>
      <c r="AE101" s="560"/>
      <c r="AF101" s="560"/>
    </row>
    <row r="102" spans="1:32">
      <c r="A102" s="560" t="s">
        <v>679</v>
      </c>
      <c r="B102" s="560"/>
      <c r="C102" s="560"/>
      <c r="D102" s="560"/>
      <c r="E102" s="560"/>
      <c r="F102" s="560"/>
      <c r="G102" s="560"/>
      <c r="H102" s="560"/>
      <c r="I102" s="560"/>
      <c r="J102" s="560"/>
      <c r="K102" s="560"/>
      <c r="L102" s="560"/>
      <c r="M102" s="560"/>
      <c r="N102" s="560"/>
      <c r="O102" s="560"/>
      <c r="P102" s="560"/>
      <c r="Q102" s="560"/>
      <c r="R102" s="560"/>
      <c r="S102" s="560"/>
      <c r="T102" s="560"/>
      <c r="U102" s="560"/>
      <c r="V102" s="560"/>
      <c r="W102" s="560"/>
      <c r="X102" s="560"/>
      <c r="Y102" s="560"/>
      <c r="Z102" s="560"/>
      <c r="AA102" s="560"/>
      <c r="AB102" s="560"/>
      <c r="AC102" s="560"/>
      <c r="AD102" s="560"/>
      <c r="AE102" s="560"/>
      <c r="AF102" s="560"/>
    </row>
    <row r="103" spans="1:32">
      <c r="A103" s="560" t="s">
        <v>680</v>
      </c>
      <c r="B103" s="560"/>
      <c r="C103" s="560"/>
      <c r="D103" s="560"/>
      <c r="E103" s="560"/>
      <c r="F103" s="560"/>
      <c r="G103" s="560"/>
      <c r="H103" s="560"/>
      <c r="I103" s="560"/>
      <c r="J103" s="560"/>
      <c r="K103" s="560"/>
      <c r="L103" s="560"/>
      <c r="M103" s="560"/>
      <c r="N103" s="560"/>
      <c r="O103" s="560"/>
      <c r="P103" s="560"/>
      <c r="Q103" s="560"/>
      <c r="R103" s="560"/>
      <c r="S103" s="560"/>
      <c r="T103" s="560"/>
      <c r="U103" s="560"/>
      <c r="V103" s="560"/>
      <c r="W103" s="560"/>
      <c r="X103" s="560"/>
      <c r="Y103" s="560"/>
      <c r="Z103" s="560"/>
      <c r="AA103" s="560"/>
      <c r="AB103" s="560"/>
      <c r="AC103" s="560"/>
      <c r="AD103" s="560"/>
      <c r="AE103" s="560"/>
      <c r="AF103" s="560"/>
    </row>
    <row r="104" spans="1:32">
      <c r="A104" s="560" t="s">
        <v>681</v>
      </c>
      <c r="B104" s="560"/>
      <c r="C104" s="560"/>
      <c r="D104" s="560"/>
      <c r="E104" s="560"/>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row>
    <row r="105" spans="1:32">
      <c r="A105" s="560" t="s">
        <v>682</v>
      </c>
      <c r="B105" s="560"/>
      <c r="C105" s="560"/>
      <c r="D105" s="560"/>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row>
    <row r="106" spans="1:32">
      <c r="A106" s="560" t="s">
        <v>683</v>
      </c>
      <c r="B106" s="560"/>
      <c r="C106" s="560"/>
      <c r="D106" s="560"/>
      <c r="E106" s="560"/>
      <c r="F106" s="560"/>
      <c r="G106" s="560"/>
      <c r="H106" s="560"/>
      <c r="I106" s="560"/>
      <c r="J106" s="560"/>
      <c r="K106" s="560"/>
      <c r="L106" s="560"/>
      <c r="M106" s="560"/>
      <c r="N106" s="560"/>
      <c r="O106" s="560"/>
      <c r="P106" s="560"/>
      <c r="Q106" s="560"/>
      <c r="R106" s="560"/>
      <c r="S106" s="560"/>
      <c r="T106" s="560"/>
      <c r="U106" s="560"/>
      <c r="V106" s="560"/>
      <c r="W106" s="560"/>
      <c r="X106" s="560"/>
      <c r="Y106" s="560"/>
      <c r="Z106" s="560"/>
      <c r="AA106" s="560"/>
      <c r="AB106" s="560"/>
      <c r="AC106" s="560"/>
      <c r="AD106" s="560"/>
      <c r="AE106" s="560"/>
      <c r="AF106" s="560"/>
    </row>
    <row r="107" spans="1:32">
      <c r="A107" s="560" t="s">
        <v>684</v>
      </c>
      <c r="B107" s="560"/>
      <c r="C107" s="560"/>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row>
    <row r="108" spans="1:32">
      <c r="A108" s="560" t="s">
        <v>636</v>
      </c>
      <c r="B108" s="560"/>
      <c r="C108" s="560"/>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0"/>
      <c r="AD108" s="560"/>
      <c r="AE108" s="560"/>
      <c r="AF108" s="560"/>
    </row>
    <row r="109" spans="1:32">
      <c r="A109" s="560" t="s">
        <v>685</v>
      </c>
      <c r="B109" s="560"/>
      <c r="C109" s="560"/>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0"/>
      <c r="AD109" s="560"/>
      <c r="AE109" s="560"/>
      <c r="AF109" s="560"/>
    </row>
    <row r="110" spans="1:32">
      <c r="A110" s="560" t="s">
        <v>686</v>
      </c>
      <c r="B110" s="560"/>
      <c r="C110" s="560"/>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0"/>
      <c r="AD110" s="560"/>
      <c r="AE110" s="560"/>
      <c r="AF110" s="560"/>
    </row>
    <row r="111" spans="1:32">
      <c r="A111" s="560" t="s">
        <v>643</v>
      </c>
      <c r="B111" s="560"/>
      <c r="C111" s="560"/>
      <c r="D111" s="560"/>
      <c r="E111" s="560"/>
      <c r="F111" s="560"/>
      <c r="G111" s="560"/>
      <c r="H111" s="560"/>
      <c r="I111" s="560"/>
      <c r="J111" s="560"/>
      <c r="K111" s="560"/>
      <c r="L111" s="560"/>
      <c r="M111" s="560"/>
      <c r="N111" s="560"/>
      <c r="O111" s="560"/>
      <c r="P111" s="560"/>
      <c r="Q111" s="560"/>
      <c r="R111" s="560"/>
      <c r="S111" s="560"/>
      <c r="T111" s="560"/>
      <c r="U111" s="560"/>
      <c r="V111" s="560"/>
      <c r="W111" s="560"/>
      <c r="X111" s="560"/>
      <c r="Y111" s="560"/>
      <c r="Z111" s="560"/>
      <c r="AA111" s="560"/>
      <c r="AB111" s="560"/>
      <c r="AC111" s="560"/>
      <c r="AD111" s="560"/>
      <c r="AE111" s="560"/>
      <c r="AF111" s="560"/>
    </row>
    <row r="112" spans="1:32">
      <c r="A112" s="560" t="s">
        <v>644</v>
      </c>
      <c r="B112" s="560"/>
      <c r="C112" s="560"/>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row>
    <row r="113" spans="1:32">
      <c r="A113" s="560" t="s">
        <v>645</v>
      </c>
      <c r="B113" s="560"/>
      <c r="C113" s="560"/>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row>
    <row r="114" spans="1:32">
      <c r="A114" s="560" t="s">
        <v>687</v>
      </c>
      <c r="B114" s="560"/>
      <c r="C114" s="560"/>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row>
    <row r="115" spans="1:32">
      <c r="A115" s="560" t="s">
        <v>688</v>
      </c>
      <c r="B115" s="560"/>
      <c r="C115" s="560"/>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560"/>
      <c r="AD115" s="560"/>
      <c r="AE115" s="560"/>
      <c r="AF115" s="560"/>
    </row>
    <row r="116" spans="1:32">
      <c r="A116" s="560" t="s">
        <v>620</v>
      </c>
      <c r="B116" s="560"/>
      <c r="C116" s="560"/>
      <c r="D116" s="560"/>
      <c r="E116" s="560"/>
      <c r="F116" s="560"/>
      <c r="G116" s="560"/>
      <c r="H116" s="560"/>
      <c r="I116" s="560"/>
      <c r="J116" s="560"/>
      <c r="K116" s="560"/>
      <c r="L116" s="560"/>
      <c r="M116" s="560"/>
      <c r="N116" s="560"/>
      <c r="O116" s="560"/>
      <c r="P116" s="560"/>
      <c r="Q116" s="560"/>
      <c r="R116" s="560"/>
      <c r="S116" s="560"/>
      <c r="T116" s="560"/>
      <c r="U116" s="560"/>
      <c r="V116" s="560"/>
      <c r="W116" s="560"/>
      <c r="X116" s="560"/>
      <c r="Y116" s="560"/>
      <c r="Z116" s="560"/>
      <c r="AA116" s="560"/>
      <c r="AB116" s="560"/>
      <c r="AC116" s="560"/>
      <c r="AD116" s="560"/>
      <c r="AE116" s="560"/>
      <c r="AF116" s="560"/>
    </row>
    <row r="117" spans="1:32">
      <c r="A117" s="560" t="s">
        <v>621</v>
      </c>
      <c r="B117" s="560"/>
      <c r="C117" s="560"/>
      <c r="D117" s="560"/>
      <c r="E117" s="560"/>
      <c r="F117" s="560"/>
      <c r="G117" s="560"/>
      <c r="H117" s="560"/>
      <c r="I117" s="560"/>
      <c r="J117" s="560"/>
      <c r="K117" s="560"/>
      <c r="L117" s="560"/>
      <c r="M117" s="560"/>
      <c r="N117" s="560"/>
      <c r="O117" s="560"/>
      <c r="P117" s="560"/>
      <c r="Q117" s="560"/>
      <c r="R117" s="560"/>
      <c r="S117" s="560"/>
      <c r="T117" s="560"/>
      <c r="U117" s="560"/>
      <c r="V117" s="560"/>
      <c r="W117" s="560"/>
      <c r="X117" s="560"/>
      <c r="Y117" s="560"/>
      <c r="Z117" s="560"/>
      <c r="AA117" s="560"/>
      <c r="AB117" s="560"/>
      <c r="AC117" s="560"/>
      <c r="AD117" s="560"/>
      <c r="AE117" s="560"/>
      <c r="AF117" s="560"/>
    </row>
    <row r="118" spans="1:32">
      <c r="A118" s="560" t="s">
        <v>622</v>
      </c>
      <c r="B118" s="560"/>
      <c r="C118" s="560"/>
      <c r="D118" s="560"/>
      <c r="E118" s="560"/>
      <c r="F118" s="560"/>
      <c r="G118" s="560"/>
      <c r="H118" s="560"/>
      <c r="I118" s="560"/>
      <c r="J118" s="560"/>
      <c r="K118" s="560"/>
      <c r="L118" s="560"/>
      <c r="M118" s="560"/>
      <c r="N118" s="560"/>
      <c r="O118" s="560"/>
      <c r="P118" s="560"/>
      <c r="Q118" s="560"/>
      <c r="R118" s="560"/>
      <c r="S118" s="560"/>
      <c r="T118" s="560"/>
      <c r="U118" s="560"/>
      <c r="V118" s="560"/>
      <c r="W118" s="560"/>
      <c r="X118" s="560"/>
      <c r="Y118" s="560"/>
      <c r="Z118" s="560"/>
      <c r="AA118" s="560"/>
      <c r="AB118" s="560"/>
      <c r="AC118" s="560"/>
      <c r="AD118" s="560"/>
      <c r="AE118" s="560"/>
      <c r="AF118" s="560"/>
    </row>
    <row r="119" spans="1:32">
      <c r="A119" s="560" t="s">
        <v>689</v>
      </c>
      <c r="B119" s="560"/>
      <c r="C119" s="560"/>
      <c r="D119" s="560"/>
      <c r="E119" s="560"/>
      <c r="F119" s="560"/>
      <c r="G119" s="560"/>
      <c r="H119" s="560"/>
      <c r="I119" s="560"/>
      <c r="J119" s="560"/>
      <c r="K119" s="560"/>
      <c r="L119" s="560"/>
      <c r="M119" s="560"/>
      <c r="N119" s="560"/>
      <c r="O119" s="560"/>
      <c r="P119" s="560"/>
      <c r="Q119" s="560"/>
      <c r="R119" s="560"/>
      <c r="S119" s="560"/>
      <c r="T119" s="560"/>
      <c r="U119" s="560"/>
      <c r="V119" s="560"/>
      <c r="W119" s="560"/>
      <c r="X119" s="560"/>
      <c r="Y119" s="560"/>
      <c r="Z119" s="560"/>
      <c r="AA119" s="560"/>
      <c r="AB119" s="560"/>
      <c r="AC119" s="560"/>
      <c r="AD119" s="560"/>
      <c r="AE119" s="560"/>
      <c r="AF119" s="560"/>
    </row>
    <row r="120" spans="1:32">
      <c r="A120" s="560" t="s">
        <v>690</v>
      </c>
      <c r="B120" s="560"/>
      <c r="C120" s="560"/>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60"/>
      <c r="AE120" s="560"/>
      <c r="AF120" s="560"/>
    </row>
    <row r="121" spans="1:32">
      <c r="A121" s="560" t="s">
        <v>624</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60"/>
    </row>
    <row r="122" spans="1:32">
      <c r="A122" s="560" t="s">
        <v>627</v>
      </c>
      <c r="B122" s="560"/>
      <c r="C122" s="560"/>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560"/>
      <c r="AD122" s="560"/>
      <c r="AE122" s="560"/>
      <c r="AF122" s="560"/>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2015-02-19T01:07:37Z</dcterms:modified>
</cp:coreProperties>
</file>