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49" i="11"/>
  <c r="H58" i="11"/>
  <c r="H56" i="11"/>
  <c r="I49" i="11"/>
  <c r="I58" i="11"/>
  <c r="I56" i="11"/>
  <c r="J49" i="11"/>
  <c r="J58" i="11"/>
  <c r="J56" i="11"/>
  <c r="K49" i="11"/>
  <c r="K58" i="11"/>
  <c r="K56" i="11"/>
  <c r="L49" i="11"/>
  <c r="L58" i="11"/>
  <c r="L56" i="11"/>
  <c r="M49" i="11"/>
  <c r="M58" i="11"/>
  <c r="M56" i="11"/>
  <c r="N49" i="11"/>
  <c r="N58" i="11"/>
  <c r="N56" i="11"/>
  <c r="O49" i="11"/>
  <c r="O58" i="11"/>
  <c r="O56" i="11"/>
  <c r="P49" i="11"/>
  <c r="P58" i="11"/>
  <c r="P56" i="11"/>
  <c r="Q49" i="11"/>
  <c r="Q58" i="11"/>
  <c r="Q56" i="11"/>
  <c r="R49" i="11"/>
  <c r="R58" i="11"/>
  <c r="R56" i="11"/>
  <c r="S49" i="11"/>
  <c r="S58" i="11"/>
  <c r="S56" i="11"/>
  <c r="T49" i="11"/>
  <c r="T58" i="11"/>
  <c r="T56" i="11"/>
  <c r="U49" i="11"/>
  <c r="U58" i="11"/>
  <c r="U56" i="11"/>
  <c r="V49" i="11"/>
  <c r="V58" i="11"/>
  <c r="V56" i="11"/>
  <c r="W49" i="11"/>
  <c r="W58" i="11"/>
  <c r="W56" i="11"/>
  <c r="X49" i="11"/>
  <c r="X58" i="11"/>
  <c r="X56" i="11"/>
  <c r="Y49" i="11"/>
  <c r="Y58" i="11"/>
  <c r="Y56" i="11"/>
  <c r="Z49" i="11"/>
  <c r="Z58" i="11"/>
  <c r="Z56" i="11"/>
  <c r="AA49" i="11"/>
  <c r="AA58" i="11"/>
  <c r="AA56" i="11"/>
  <c r="AB49" i="11"/>
  <c r="AB58" i="11"/>
  <c r="AB56" i="11"/>
  <c r="AC49" i="11"/>
  <c r="AC58" i="11"/>
  <c r="AC56" i="11"/>
  <c r="AD49" i="11"/>
  <c r="AD58" i="11"/>
  <c r="AD56" i="11"/>
  <c r="AE49" i="11"/>
  <c r="AE58" i="11"/>
  <c r="AE56" i="11"/>
  <c r="AF49" i="11"/>
  <c r="AF58" i="11"/>
  <c r="AF56" i="11"/>
  <c r="AG49" i="11"/>
  <c r="AG58" i="11"/>
  <c r="AG56" i="11"/>
  <c r="AH49" i="11"/>
  <c r="AH58" i="11"/>
  <c r="AH56" i="11"/>
  <c r="AI49" i="11"/>
  <c r="AI58" i="11"/>
  <c r="AI56" i="11"/>
  <c r="AJ49" i="11"/>
  <c r="AJ58" i="11"/>
  <c r="AJ56" i="11"/>
  <c r="G49" i="11"/>
  <c r="G58" i="11"/>
  <c r="G56" i="11"/>
  <c r="AJ73" i="8"/>
  <c r="AH7" i="9"/>
  <c r="AJ74" i="8"/>
  <c r="AJ75" i="8"/>
  <c r="AJ76" i="8"/>
  <c r="AJ77" i="8"/>
  <c r="AJ78" i="8"/>
  <c r="AJ79" i="8"/>
  <c r="AJ54" i="11"/>
  <c r="AH13" i="15"/>
  <c r="AH14" i="15"/>
  <c r="D30" i="5"/>
  <c r="C30" i="5"/>
  <c r="P73" i="8"/>
  <c r="N7" i="9"/>
  <c r="P74" i="8"/>
  <c r="P75" i="8"/>
  <c r="P76" i="8"/>
  <c r="P77" i="8"/>
  <c r="P78" i="8"/>
  <c r="P79" i="8"/>
  <c r="P54" i="11"/>
  <c r="N13" i="15"/>
  <c r="N14" i="15"/>
  <c r="D35" i="5"/>
  <c r="C35" i="5"/>
  <c r="Z73" i="8"/>
  <c r="X7" i="9"/>
  <c r="Z74" i="8"/>
  <c r="Z75" i="8"/>
  <c r="Z76" i="8"/>
  <c r="Z77" i="8"/>
  <c r="Z78" i="8"/>
  <c r="Z79" i="8"/>
  <c r="Z54" i="11"/>
  <c r="X13" i="15"/>
  <c r="X14" i="15"/>
  <c r="D29" i="5"/>
  <c r="C29" i="5"/>
  <c r="D28" i="5"/>
  <c r="C28" i="5"/>
  <c r="F35" i="5"/>
  <c r="H35" i="5"/>
  <c r="AH26" i="15"/>
  <c r="AH31" i="15"/>
  <c r="D36" i="5"/>
  <c r="C36" i="5"/>
  <c r="F36" i="5"/>
  <c r="H36" i="5"/>
  <c r="AH18" i="15"/>
  <c r="AH32" i="15"/>
  <c r="N10" i="9"/>
  <c r="D17" i="5"/>
  <c r="N11" i="9"/>
  <c r="N12" i="9"/>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J60" i="11"/>
  <c r="AH47" i="15"/>
  <c r="AH48" i="15"/>
  <c r="AH49" i="15"/>
  <c r="AH93" i="15"/>
  <c r="X34" i="15"/>
  <c r="X35" i="15"/>
  <c r="X37" i="15"/>
  <c r="X38" i="15"/>
  <c r="X39" i="15"/>
  <c r="X40" i="15"/>
  <c r="X42" i="15"/>
  <c r="X26" i="15"/>
  <c r="X31" i="15"/>
  <c r="X18" i="15"/>
  <c r="X32" i="15"/>
  <c r="X43" i="15"/>
  <c r="X24" i="15"/>
  <c r="X30" i="15"/>
  <c r="Z60" i="11"/>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P60" i="11"/>
  <c r="N47" i="15"/>
  <c r="N48" i="15"/>
  <c r="N49" i="15"/>
  <c r="N93" i="15"/>
  <c r="X78" i="15"/>
  <c r="N94" i="15"/>
  <c r="X79" i="15"/>
  <c r="N87" i="15"/>
  <c r="X72" i="15"/>
  <c r="J73" i="8"/>
  <c r="H7" i="9"/>
  <c r="H31" i="15"/>
  <c r="J76" i="8"/>
  <c r="H10" i="9"/>
  <c r="H34" i="15"/>
  <c r="J74" i="8"/>
  <c r="H11" i="9"/>
  <c r="H35" i="15"/>
  <c r="J75" i="8"/>
  <c r="H12" i="9"/>
  <c r="H37" i="15"/>
  <c r="J78" i="8"/>
  <c r="H16" i="9"/>
  <c r="H42" i="15"/>
  <c r="H43" i="15"/>
  <c r="J77" i="8"/>
  <c r="J79" i="8"/>
  <c r="J54" i="11"/>
  <c r="H14" i="15"/>
  <c r="H30" i="15"/>
  <c r="J60" i="11"/>
  <c r="H47" i="15"/>
  <c r="H48" i="15"/>
  <c r="H49" i="15"/>
  <c r="H93" i="15"/>
  <c r="N78" i="15"/>
  <c r="H94" i="15"/>
  <c r="N79" i="15"/>
  <c r="H87" i="15"/>
  <c r="N72" i="15"/>
  <c r="H74" i="8"/>
  <c r="H73" i="8"/>
  <c r="H75" i="8"/>
  <c r="H76" i="8"/>
  <c r="H77" i="8"/>
  <c r="H78" i="8"/>
  <c r="H79" i="8"/>
  <c r="I74" i="8"/>
  <c r="I73" i="8"/>
  <c r="I75" i="8"/>
  <c r="I76" i="8"/>
  <c r="I77" i="8"/>
  <c r="I78" i="8"/>
  <c r="I79" i="8"/>
  <c r="K74" i="8"/>
  <c r="K73" i="8"/>
  <c r="K75" i="8"/>
  <c r="K76" i="8"/>
  <c r="K77" i="8"/>
  <c r="K78" i="8"/>
  <c r="K79" i="8"/>
  <c r="L74" i="8"/>
  <c r="L73" i="8"/>
  <c r="L75" i="8"/>
  <c r="L76" i="8"/>
  <c r="L77" i="8"/>
  <c r="L78" i="8"/>
  <c r="L79" i="8"/>
  <c r="M74" i="8"/>
  <c r="M73" i="8"/>
  <c r="M75" i="8"/>
  <c r="M76" i="8"/>
  <c r="M77" i="8"/>
  <c r="M78" i="8"/>
  <c r="M79" i="8"/>
  <c r="N74" i="8"/>
  <c r="N73" i="8"/>
  <c r="N75" i="8"/>
  <c r="N76" i="8"/>
  <c r="N77" i="8"/>
  <c r="N78" i="8"/>
  <c r="N79" i="8"/>
  <c r="O74" i="8"/>
  <c r="O73" i="8"/>
  <c r="O75" i="8"/>
  <c r="O76" i="8"/>
  <c r="O77" i="8"/>
  <c r="O78" i="8"/>
  <c r="O79" i="8"/>
  <c r="Q74" i="8"/>
  <c r="Q73" i="8"/>
  <c r="Q75" i="8"/>
  <c r="Q76" i="8"/>
  <c r="Q77" i="8"/>
  <c r="Q78" i="8"/>
  <c r="Q79" i="8"/>
  <c r="R74" i="8"/>
  <c r="R73" i="8"/>
  <c r="R75" i="8"/>
  <c r="R76" i="8"/>
  <c r="R77" i="8"/>
  <c r="R78" i="8"/>
  <c r="R79" i="8"/>
  <c r="S74" i="8"/>
  <c r="S73" i="8"/>
  <c r="S75" i="8"/>
  <c r="S76" i="8"/>
  <c r="S77" i="8"/>
  <c r="S78" i="8"/>
  <c r="S79" i="8"/>
  <c r="T74" i="8"/>
  <c r="T73" i="8"/>
  <c r="T75" i="8"/>
  <c r="T76" i="8"/>
  <c r="T77" i="8"/>
  <c r="T78" i="8"/>
  <c r="T79" i="8"/>
  <c r="U74" i="8"/>
  <c r="U73" i="8"/>
  <c r="U75" i="8"/>
  <c r="U76" i="8"/>
  <c r="U77" i="8"/>
  <c r="U78" i="8"/>
  <c r="U79" i="8"/>
  <c r="V74" i="8"/>
  <c r="V73" i="8"/>
  <c r="V75" i="8"/>
  <c r="V76" i="8"/>
  <c r="V77" i="8"/>
  <c r="V78" i="8"/>
  <c r="V79" i="8"/>
  <c r="W74" i="8"/>
  <c r="W73" i="8"/>
  <c r="W75" i="8"/>
  <c r="W76" i="8"/>
  <c r="W77" i="8"/>
  <c r="W78" i="8"/>
  <c r="W79" i="8"/>
  <c r="X74" i="8"/>
  <c r="X73" i="8"/>
  <c r="X75" i="8"/>
  <c r="X76" i="8"/>
  <c r="X77" i="8"/>
  <c r="X78" i="8"/>
  <c r="X79" i="8"/>
  <c r="Y74" i="8"/>
  <c r="Y73" i="8"/>
  <c r="Y75" i="8"/>
  <c r="Y76" i="8"/>
  <c r="Y77" i="8"/>
  <c r="Y78" i="8"/>
  <c r="Y79" i="8"/>
  <c r="AA74" i="8"/>
  <c r="AA73" i="8"/>
  <c r="AA75" i="8"/>
  <c r="AA76" i="8"/>
  <c r="AA77" i="8"/>
  <c r="AA78" i="8"/>
  <c r="AA79" i="8"/>
  <c r="AB74" i="8"/>
  <c r="AB73" i="8"/>
  <c r="AB75" i="8"/>
  <c r="AB76" i="8"/>
  <c r="AB77" i="8"/>
  <c r="AB78" i="8"/>
  <c r="AB79" i="8"/>
  <c r="AC74" i="8"/>
  <c r="AC73" i="8"/>
  <c r="AC75" i="8"/>
  <c r="AC76" i="8"/>
  <c r="AC77" i="8"/>
  <c r="AC78" i="8"/>
  <c r="AC79" i="8"/>
  <c r="AD74" i="8"/>
  <c r="AD73" i="8"/>
  <c r="AD75" i="8"/>
  <c r="AD76" i="8"/>
  <c r="AD77" i="8"/>
  <c r="AD78" i="8"/>
  <c r="AD79" i="8"/>
  <c r="AE74" i="8"/>
  <c r="AE73" i="8"/>
  <c r="AE75" i="8"/>
  <c r="AE76" i="8"/>
  <c r="AE77" i="8"/>
  <c r="AE78" i="8"/>
  <c r="AE79" i="8"/>
  <c r="AF74" i="8"/>
  <c r="AF73" i="8"/>
  <c r="AF75" i="8"/>
  <c r="AF76" i="8"/>
  <c r="AF77" i="8"/>
  <c r="AF78" i="8"/>
  <c r="AF79" i="8"/>
  <c r="AG74" i="8"/>
  <c r="AG73" i="8"/>
  <c r="AG75" i="8"/>
  <c r="AG76" i="8"/>
  <c r="AG77" i="8"/>
  <c r="AG78" i="8"/>
  <c r="AG79" i="8"/>
  <c r="AH74" i="8"/>
  <c r="AH73" i="8"/>
  <c r="AH75" i="8"/>
  <c r="AH76" i="8"/>
  <c r="AH77" i="8"/>
  <c r="AH78" i="8"/>
  <c r="AH79" i="8"/>
  <c r="AI74" i="8"/>
  <c r="AI73" i="8"/>
  <c r="AI75" i="8"/>
  <c r="AI76" i="8"/>
  <c r="AI77" i="8"/>
  <c r="AI78" i="8"/>
  <c r="AI79" i="8"/>
  <c r="G74" i="8"/>
  <c r="G73" i="8"/>
  <c r="G75" i="8"/>
  <c r="G76" i="8"/>
  <c r="G77" i="8"/>
  <c r="G78"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50" i="11"/>
  <c r="H51" i="11"/>
  <c r="I50" i="11"/>
  <c r="I51" i="11"/>
  <c r="J50" i="11"/>
  <c r="J51" i="11"/>
  <c r="K50" i="11"/>
  <c r="K51" i="11"/>
  <c r="L50" i="11"/>
  <c r="L51" i="11"/>
  <c r="M50" i="11"/>
  <c r="M51" i="11"/>
  <c r="N50" i="11"/>
  <c r="N51" i="11"/>
  <c r="O50" i="11"/>
  <c r="O51" i="11"/>
  <c r="P50" i="11"/>
  <c r="P51" i="11"/>
  <c r="Q50" i="11"/>
  <c r="Q51" i="11"/>
  <c r="R50" i="11"/>
  <c r="R51" i="11"/>
  <c r="S50" i="11"/>
  <c r="S51" i="11"/>
  <c r="T50" i="11"/>
  <c r="T51" i="11"/>
  <c r="U50" i="11"/>
  <c r="U51" i="11"/>
  <c r="V50" i="11"/>
  <c r="V51" i="11"/>
  <c r="W50" i="11"/>
  <c r="W51" i="11"/>
  <c r="X50" i="11"/>
  <c r="X51" i="11"/>
  <c r="Y50" i="11"/>
  <c r="Y51" i="11"/>
  <c r="Z50" i="11"/>
  <c r="Z51" i="11"/>
  <c r="AA50" i="11"/>
  <c r="AA51" i="11"/>
  <c r="AB50" i="11"/>
  <c r="AB51" i="11"/>
  <c r="AC50" i="11"/>
  <c r="AC51" i="11"/>
  <c r="AD50" i="11"/>
  <c r="AD51" i="11"/>
  <c r="AE50" i="11"/>
  <c r="AE51" i="11"/>
  <c r="AF50" i="11"/>
  <c r="AF51" i="11"/>
  <c r="AG50" i="11"/>
  <c r="AG51" i="11"/>
  <c r="AH50" i="11"/>
  <c r="AH51" i="11"/>
  <c r="AI50" i="11"/>
  <c r="AI51" i="11"/>
  <c r="AJ50" i="11"/>
  <c r="AJ51" i="11"/>
  <c r="AH16" i="15"/>
  <c r="Z13" i="15"/>
  <c r="Z14" i="15"/>
  <c r="N8" i="9"/>
  <c r="N13" i="9"/>
  <c r="N14" i="9"/>
  <c r="X8" i="9"/>
  <c r="X46" i="15"/>
  <c r="X58" i="15"/>
  <c r="AH46" i="15"/>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G51" i="11"/>
  <c r="B58" i="11"/>
  <c r="C58" i="11"/>
  <c r="D58" i="11"/>
  <c r="E58" i="11"/>
  <c r="F58" i="11"/>
  <c r="X10" i="9"/>
  <c r="X11" i="9"/>
  <c r="X12" i="9"/>
  <c r="X13" i="9"/>
  <c r="X14" i="9"/>
  <c r="X16" i="9"/>
  <c r="X18" i="9"/>
  <c r="D12" i="5"/>
  <c r="E12" i="5"/>
  <c r="AH8" i="9"/>
  <c r="AH10" i="9"/>
  <c r="AH11" i="9"/>
  <c r="AH12" i="9"/>
  <c r="AH13"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46" i="15"/>
  <c r="N86" i="15"/>
  <c r="H32" i="15"/>
  <c r="H13" i="9"/>
  <c r="H38" i="15"/>
  <c r="H14" i="9"/>
  <c r="H39" i="15"/>
  <c r="H40" i="15"/>
  <c r="H46"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H47" i="9"/>
  <c r="H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70" i="9"/>
  <c r="H73" i="9"/>
  <c r="H178" i="15"/>
  <c r="H51" i="9"/>
  <c r="H195" i="15"/>
  <c r="H194" i="15"/>
  <c r="H204" i="15"/>
  <c r="H52" i="9"/>
  <c r="H55" i="9"/>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H176"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8" i="15"/>
  <c r="H135" i="15"/>
  <c r="H105" i="15"/>
  <c r="H132" i="15"/>
  <c r="H109" i="15"/>
  <c r="H136" i="15"/>
  <c r="H110" i="15"/>
  <c r="H137" i="15"/>
  <c r="H112" i="15"/>
  <c r="H139" i="15"/>
  <c r="H107" i="15"/>
  <c r="H134" i="15"/>
  <c r="H67" i="15"/>
  <c r="H44" i="15"/>
  <c r="H45" i="15"/>
  <c r="H104" i="15"/>
  <c r="H116" i="15"/>
  <c r="H117" i="15"/>
  <c r="H144" i="15"/>
  <c r="H115" i="15"/>
  <c r="H214" i="15"/>
  <c r="H113" i="15"/>
  <c r="H131" i="15"/>
  <c r="H143" i="15"/>
  <c r="H221" i="15"/>
  <c r="H242" i="15"/>
  <c r="H220" i="15"/>
  <c r="H241" i="15"/>
  <c r="H235" i="15"/>
  <c r="H142" i="15"/>
  <c r="H215" i="15"/>
  <c r="H236" i="15"/>
  <c r="H140" i="15"/>
  <c r="H145" i="15"/>
  <c r="H118" i="15"/>
  <c r="H88" i="15"/>
  <c r="H56" i="15"/>
  <c r="H84" i="15"/>
  <c r="H219" i="15"/>
  <c r="H240" i="15"/>
  <c r="H85" i="15"/>
  <c r="H50" i="15"/>
  <c r="H57" i="15"/>
  <c r="H146" i="15"/>
  <c r="H181" i="15"/>
  <c r="H184" i="15"/>
  <c r="H213" i="15"/>
  <c r="H119" i="15"/>
  <c r="H179" i="15"/>
  <c r="H182"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H185"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<sst xmlns="http://schemas.openxmlformats.org/spreadsheetml/2006/main" count="1326" uniqueCount="760">
  <si>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</si>
  <si>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</si>
  <si>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</si>
  <si>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</si>
  <si>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</si>
  <si>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</si>
  <si>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</si>
  <si>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</si>
  <si>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</si>
  <si>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</si>
  <si>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</si>
  <si>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</si>
  <si>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</si>
  <si>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</si>
  <si>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</si>
  <si>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</si>
  <si>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</si>
  <si>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</si>
  <si>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</si>
  <si>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</si>
  <si>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</si>
  <si>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</si>
  <si>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</si>
  <si>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</si>
  <si>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</si>
  <si>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</si>
  <si>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</si>
  <si>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</si>
  <si>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</si>
  <si>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</si>
  <si>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</si>
  <si>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</si>
  <si>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</si>
  <si>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</si>
  <si>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</si>
  <si>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</si>
  <si>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</si>
  <si>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</si>
  <si>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</si>
  <si>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</si>
  <si>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</si>
  <si>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</si>
  <si>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</si>
  <si>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</si>
  <si>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</si>
  <si>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</si>
  <si>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</si>
  <si>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</si>
  <si>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</si>
  <si>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</si>
  <si>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</si>
  <si>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</si>
  <si>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</si>
  <si>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</si>
  <si>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</si>
  <si>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</si>
  <si>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</si>
  <si>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</si>
  <si>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</si>
  <si>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</si>
  <si>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</si>
  <si>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</si>
  <si>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</si>
  <si>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</si>
  <si>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</si>
  <si>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</si>
  <si>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</si>
  <si>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</si>
  <si>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</si>
  <si>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</si>
  <si>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</si>
  <si>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</si>
  <si>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</si>
  <si>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</si>
  <si>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</si>
  <si>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</si>
  <si>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</si>
  <si>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</si>
  <si>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</si>
  <si>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</si>
  <si>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</si>
  <si>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</si>
  <si>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</si>
  <si>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</si>
  <si>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</si>
  <si>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</si>
  <si>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</si>
  <si>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</si>
  <si>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</si>
  <si>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</si>
  <si>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</si>
  <si>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</si>
  <si>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</si>
  <si>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</si>
  <si>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</si>
  <si>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</si>
  <si>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</si>
  <si>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</si>
  <si>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</si>
  <si>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</si>
  <si>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</si>
  <si>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</si>
  <si>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</si>
  <si>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</si>
  <si>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</si>
  <si>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</si>
  <si>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</si>
  <si>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</si>
  <si>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</si>
  <si>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</si>
  <si>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</si>
  <si>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</si>
  <si>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</si>
  <si>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</si>
  <si>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</si>
  <si>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</si>
  <si>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</si>
  <si>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</si>
  <si>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</si>
  <si>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</si>
  <si>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</si>
  <si>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</si>
  <si>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</si>
  <si>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</si>
  <si>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</si>
  <si>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</si>
  <si>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</si>
  <si>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</si>
  <si>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</si>
  <si>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</si>
  <si>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</si>
  <si>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</si>
  <si>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</si>
  <si>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</si>
  <si>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</si>
  <si>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</si>
  <si>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</si>
  <si>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</si>
  <si>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</si>
  <si>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</si>
  <si>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</si>
  <si>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</si>
  <si>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</si>
  <si>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</si>
  <si>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</si>
  <si>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</si>
  <si>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</si>
  <si>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</si>
  <si>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</si>
  <si>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</si>
  <si>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</si>
  <si>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</si>
  <si>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</si>
  <si>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</si>
  <si>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</si>
  <si>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</si>
  <si>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</si>
  <si>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</si>
  <si>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</si>
  <si>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</si>
  <si>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</si>
  <si>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</si>
  <si>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</si>
  <si>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</si>
  <si>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</si>
  <si>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</si>
  <si>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</si>
  <si>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</si>
  <si>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</si>
  <si>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</si>
  <si>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</si>
  <si>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</si>
  <si>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</si>
  <si>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</si>
  <si>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</si>
  <si>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</si>
  <si>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</si>
  <si>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</si>
  <si>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</si>
  <si>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</si>
  <si>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</si>
  <si>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</si>
  <si>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</si>
  <si>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</si>
  <si>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</si>
  <si>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</si>
  <si>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</si>
  <si>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</si>
  <si>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</si>
  <si>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</si>
  <si>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</si>
  <si>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</si>
  <si>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</si>
  <si>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</si>
  <si>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</si>
  <si>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</si>
  <si>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</si>
  <si>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</si>
  <si>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</si>
  <si>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</si>
  <si>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</si>
  <si>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</si>
  <si>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</si>
  <si>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</si>
  <si>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</si>
  <si>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</si>
  <si>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</si>
  <si>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</si>
  <si>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</si>
  <si>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</si>
  <si>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</si>
  <si>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</si>
  <si>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</si>
  <si>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</si>
  <si>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</si>
  <si>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</si>
  <si>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</si>
  <si>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</si>
  <si>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</si>
  <si>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</si>
  <si>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</si>
  <si>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</si>
  <si>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</si>
  <si>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</si>
  <si>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</si>
  <si>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</si>
  <si>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</si>
  <si>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</si>
  <si>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</si>
  <si>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</si>
  <si>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</si>
  <si>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</si>
  <si>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</si>
  <si>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</si>
  <si>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</si>
  <si>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</si>
  <si>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</si>
  <si>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</si>
  <si>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</si>
  <si>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</si>
  <si>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</si>
  <si>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</si>
  <si>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</si>
  <si>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</si>
  <si>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</si>
  <si>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</si>
  <si>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</si>
  <si>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</si>
  <si>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</si>
  <si>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</si>
  <si>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</si>
  <si>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</si>
  <si>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</si>
  <si>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</si>
  <si>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</si>
  <si>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</si>
  <si>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</si>
  <si>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</si>
  <si>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</si>
  <si>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</si>
  <si>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</si>
  <si>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</si>
  <si>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</si>
  <si>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</si>
  <si>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</si>
  <si>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</si>
  <si>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</si>
  <si>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</si>
  <si>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</si>
  <si>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</si>
  <si>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</si>
  <si>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</si>
  <si>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</si>
  <si>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</si>
  <si>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</si>
  <si>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</si>
  <si>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</si>
  <si>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</si>
  <si>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</si>
  <si>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</si>
  <si>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</si>
  <si>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</si>
  <si>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</si>
  <si>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</si>
  <si>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</si>
  <si>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</si>
  <si>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</si>
  <si>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</si>
  <si>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</si>
  <si>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</si>
  <si>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</si>
  <si>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</si>
  <si>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</si>
  <si>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</si>
  <si>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</si>
  <si>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</si>
  <si>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</si>
  <si>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</si>
  <si>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</si>
  <si>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</si>
  <si>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</si>
  <si>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</si>
  <si>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</si>
  <si>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</si>
  <si>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</si>
  <si>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</si>
  <si>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</si>
  <si>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</si>
  <si>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</si>
  <si>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</si>
  <si>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</si>
  <si>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</si>
  <si>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</si>
  <si>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</si>
  <si>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</si>
  <si>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</si>
  <si>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</si>
  <si>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</si>
  <si>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</si>
  <si>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</si>
  <si>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</si>
  <si>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</si>
  <si>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</si>
  <si>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</si>
  <si>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</si>
  <si>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</si>
  <si>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</si>
  <si>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</si>
  <si>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</si>
  <si>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</si>
  <si>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</si>
  <si>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</si>
  <si>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</si>
  <si>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</si>
  <si>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</si>
  <si>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</si>
  <si>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</si>
  <si>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</si>
  <si>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</si>
  <si>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</si>
  <si>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</si>
  <si>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</si>
  <si>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</si>
  <si>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</si>
  <si>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</si>
  <si>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</si>
  <si>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</si>
  <si>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</si>
  <si>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</si>
  <si>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</si>
  <si>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</si>
  <si>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</si>
  <si>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</si>
  <si>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</si>
  <si>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</si>
  <si>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</si>
  <si>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</si>
  <si>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</si>
  <si>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</si>
  <si>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</si>
  <si>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</si>
  <si>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</si>
  <si>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</si>
  <si>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</si>
  <si>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</si>
  <si>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</si>
  <si>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</si>
  <si>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</si>
  <si>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</si>
  <si>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</si>
  <si>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</si>
  <si>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</si>
  <si>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</si>
  <si>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</si>
  <si>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</si>
  <si>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</si>
  <si>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</si>
  <si>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</si>
  <si>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</si>
  <si>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</si>
  <si>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</si>
  <si>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</si>
  <si>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</si>
  <si>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</si>
  <si>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</si>
  <si>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</si>
  <si>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</si>
  <si>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</si>
  <si>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</si>
  <si>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</si>
  <si>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</si>
  <si>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</si>
  <si>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</si>
  <si>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</si>
  <si>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</si>
  <si>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</si>
  <si>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</si>
  <si>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</si>
  <si>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</si>
  <si>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</si>
  <si>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</si>
  <si>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</si>
  <si>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</si>
  <si>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</si>
  <si>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</si>
  <si>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</si>
  <si>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</si>
  <si>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</si>
  <si>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</si>
  <si>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</si>
  <si>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</si>
  <si>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</si>
  <si>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</si>
  <si>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</si>
  <si>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</si>
  <si>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</si>
  <si>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</si>
  <si>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</si>
  <si>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</si>
  <si>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</si>
  <si>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</si>
  <si>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</si>
  <si>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</si>
  <si>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</si>
  <si>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</si>
  <si>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</si>
  <si>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</si>
  <si>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</si>
  <si>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</si>
  <si>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</si>
  <si>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</si>
  <si>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</si>
  <si>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</si>
  <si>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</si>
  <si>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</si>
  <si>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</si>
  <si>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</si>
  <si>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</si>
  <si>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</si>
  <si>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</si>
  <si>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</si>
  <si>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</si>
  <si>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</si>
  <si>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</si>
  <si>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</si>
  <si>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</si>
  <si>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</si>
  <si>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</si>
  <si>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</si>
  <si>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</si>
  <si>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</si>
  <si>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</si>
  <si>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</si>
  <si>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</si>
  <si>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</si>
  <si>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</si>
  <si>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</si>
  <si>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</si>
  <si>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</si>
  <si>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</si>
  <si>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</si>
  <si>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</si>
  <si>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</si>
  <si>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</si>
  <si>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</si>
  <si>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</si>
  <si>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</si>
  <si>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</si>
  <si>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</si>
  <si>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</si>
  <si>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</si>
  <si>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</si>
  <si>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</si>
  <si>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</si>
  <si>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</si>
  <si>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</si>
  <si>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</si>
  <si>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</si>
  <si>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</si>
  <si>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</si>
  <si>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</si>
  <si>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</si>
  <si>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</si>
  <si>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</si>
  <si>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</si>
  <si>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</si>
  <si>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</si>
  <si>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</si>
  <si>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</si>
  <si>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</si>
  <si>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</si>
  <si>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</si>
  <si>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</si>
  <si>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</si>
  <si>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</si>
  <si>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</si>
  <si>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</si>
  <si>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</si>
  <si>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</si>
  <si>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</si>
  <si>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</si>
  <si>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</si>
  <si>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</si>
  <si>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</si>
  <si>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</si>
  <si>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</si>
  <si>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</si>
  <si>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</si>
  <si>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</si>
  <si>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</si>
  <si>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</si>
  <si>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</si>
  <si>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</si>
  <si>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</si>
  <si>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</si>
  <si>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</si>
  <si>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</si>
  <si>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</si>
  <si>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</si>
  <si>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</si>
  <si>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</si>
  <si>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</si>
  <si>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</si>
  <si>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</si>
  <si>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</si>
  <si>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</si>
  <si>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</si>
  <si>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</si>
  <si>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</si>
  <si>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</si>
  <si>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</si>
  <si>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</si>
  <si>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</si>
  <si>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</si>
  <si>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</si>
  <si>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</si>
  <si>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</si>
  <si>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</si>
  <si>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</si>
  <si>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</si>
  <si>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</si>
  <si>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</si>
  <si>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</si>
  <si>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</si>
  <si>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</si>
  <si>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</si>
  <si>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</si>
  <si>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</si>
  <si>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</si>
  <si>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</si>
  <si>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</si>
  <si>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</si>
  <si>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</si>
  <si>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</si>
  <si>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</si>
  <si>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</si>
  <si>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</si>
  <si>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</si>
  <si>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</si>
  <si>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</si>
  <si>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</si>
  <si>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</si>
  <si>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</si>
  <si>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</si>
  <si>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</si>
  <si>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</si>
  <si>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</si>
  <si>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</si>
  <si>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</si>
  <si>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</si>
  <si>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</si>
  <si>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</si>
  <si>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</si>
  <si>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</si>
  <si>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</si>
  <si>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</si>
  <si>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</si>
  <si>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</si>
  <si>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</si>
  <si>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</si>
  <si>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</si>
  <si>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</si>
  <si>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</si>
  <si>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</si>
  <si>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</si>
  <si>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</si>
  <si>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</si>
  <si>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</si>
  <si>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</si>
  <si>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</si>
  <si>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</si>
  <si>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</si>
  <si>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</si>
  <si>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</si>
  <si>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</si>
  <si>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</si>
  <si>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</si>
  <si>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</si>
  <si>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</si>
  <si>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</si>
  <si>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</si>
  <si>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</si>
  <si>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</si>
  <si>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</si>
  <si>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</si>
  <si>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</si>
  <si>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</si>
  <si>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</si>
  <si>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</si>
  <si>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</si>
  <si>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</si>
  <si>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</si>
  <si>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</si>
  <si>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</si>
  <si>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</si>
  <si>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</si>
  <si>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</si>
  <si>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</si>
  <si>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</si>
  <si>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</si>
  <si>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</si>
  <si>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</si>
  <si>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</si>
  <si>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</si>
  <si>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</si>
  <si>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</si>
  <si>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</si>
  <si>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</si>
  <si>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</si>
  <si>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</si>
  <si>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</si>
  <si>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</si>
  <si>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</si>
  <si>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</si>
  <si>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</si>
  <si>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</si>
  <si>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</si>
  <si>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</si>
  <si>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</si>
  <si>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</si>
  <si>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</si>
  <si>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</si>
  <si>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</si>
  <si>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</si>
  <si>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</si>
  <si>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</si>
  <si>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</si>
  <si>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</si>
  <si>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</si>
  <si>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</si>
  <si>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</si>
  <si>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</si>
  <si>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</si>
  <si>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</si>
  <si>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</si>
  <si>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</si>
  <si>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</si>
  <si>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</si>
  <si>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</si>
  <si>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</si>
  <si>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</si>
  <si>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</si>
  <si>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</si>
  <si>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</si>
  <si>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</si>
  <si>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</si>
  <si>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</si>
  <si>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</si>
  <si>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</si>
  <si>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</si>
  <si>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</si>
  <si>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</si>
  <si>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</si>
  <si>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</si>
  <si>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</si>
  <si>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</si>
  <si>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</si>
  <si>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</si>
  <si>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</si>
  <si>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</si>
  <si>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</si>
  <si>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</si>
  <si>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</si>
  <si>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</si>
  <si>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</si>
  <si>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</si>
  <si>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</si>
  <si>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</si>
  <si>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</si>
  <si>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</si>
  <si>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</si>
  <si>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</si>
  <si>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</si>
  <si>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</si>
  <si>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</si>
  <si>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</si>
  <si>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</si>
  <si>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</si>
  <si>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</si>
  <si>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</si>
  <si>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</si>
  <si>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</si>
  <si>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</si>
  <si>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</si>
  <si>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</si>
  <si>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</si>
  <si>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</si>
  <si>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</si>
  <si>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</si>
  <si>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</si>
  <si>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</si>
  <si>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</si>
  <si>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</si>
  <si>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</si>
  <si>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</si>
  <si>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</si>
  <si>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</si>
  <si>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</si>
  <si>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</si>
  <si>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</si>
  <si>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</si>
  <si>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</si>
  <si>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</si>
  <si>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</si>
  <si>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</si>
  <si>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</si>
  <si>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</si>
  <si>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</si>
  <si>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</si>
  <si>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</si>
  <si>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</si>
  <si>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</si>
  <si>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</si>
  <si>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</si>
  <si>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</si>
  <si>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</si>
  <si>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</si>
  <si>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</si>
  <si>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</si>
  <si>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</si>
  <si>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</si>
  <si>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</si>
  <si>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</si>
  <si>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</si>
  <si>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</si>
  <si>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</si>
  <si>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</si>
  <si>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</si>
  <si>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</si>
  <si>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</si>
  <si>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</si>
  <si>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</si>
  <si>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</si>
  <si>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</si>
  <si>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</si>
  <si>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Total Electricity Generation by Fuel by computation for Wyoming</t>
  </si>
  <si>
    <t>Contribution of Wyoming</t>
  </si>
  <si>
    <t>Proportion for Wyoming</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</si>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</sst>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b/>
      <sz val="10"/>
      <color rgb="FF000000"/>
      <name val="Calibri"/>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0" borderId="0" xfId="0" applyFont="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0" fillId="0" borderId="0" xfId="0"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0" fontId="28" fillId="0" borderId="0" xfId="0" applyFont="1" applyAlignment="1">
      <alignment horizontal="center" vertical="top"/>
    </xf>
    <xf numFmtId="0" fontId="0" fillId="0" borderId="31" xfId="0" applyBorder="1" applyAlignment="1">
      <alignment wrapText="1"/>
    </xf>
    <xf numFmtId="0" fontId="0" fillId="0" borderId="0" xfId="0"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5655864"/>
        <c:axId val="2095128472"/>
      </c:lineChart>
      <c:catAx>
        <c:axId val="209565586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128472"/>
        <c:crosses val="autoZero"/>
        <c:auto val="1"/>
        <c:lblAlgn val="ctr"/>
        <c:lblOffset val="100"/>
        <c:noMultiLvlLbl val="0"/>
      </c:catAx>
      <c:valAx>
        <c:axId val="209512847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65586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0985832"/>
        <c:axId val="2094736040"/>
      </c:lineChart>
      <c:catAx>
        <c:axId val="211098583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4736040"/>
        <c:crosses val="autoZero"/>
        <c:auto val="1"/>
        <c:lblAlgn val="ctr"/>
        <c:lblOffset val="100"/>
        <c:noMultiLvlLbl val="0"/>
      </c:catAx>
      <c:valAx>
        <c:axId val="209473604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098583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11"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5"/>
      <c r="B1" s="535"/>
      <c r="C1" s="535"/>
      <c r="D1" s="535"/>
      <c r="E1" s="535"/>
      <c r="F1" s="535"/>
      <c r="G1" s="535"/>
      <c r="H1" s="535"/>
      <c r="I1" s="535"/>
      <c r="J1" s="535"/>
      <c r="K1" s="535"/>
      <c r="L1" s="535"/>
      <c r="M1" s="535"/>
      <c r="N1" s="535"/>
      <c r="O1" s="535"/>
      <c r="P1" s="535"/>
      <c r="Q1" s="535"/>
      <c r="R1" s="535"/>
      <c r="S1" s="535"/>
      <c r="T1" s="535"/>
    </row>
    <row r="2" spans="1:20" ht="113.25" customHeight="1">
      <c r="A2" s="535"/>
      <c r="B2" s="535"/>
      <c r="C2" s="535"/>
      <c r="D2" s="535"/>
      <c r="E2" s="535"/>
      <c r="F2" s="535"/>
      <c r="G2" s="535"/>
      <c r="H2" s="535"/>
      <c r="I2" s="535"/>
      <c r="J2" s="535"/>
      <c r="K2" s="535"/>
      <c r="L2" s="535"/>
      <c r="M2" s="535"/>
      <c r="N2" s="535"/>
      <c r="O2" s="535"/>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0.12112436805706839</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0.2</v>
      </c>
      <c r="D11" s="125">
        <f>'Output - Jobs vs Yr (BAU)'!N18/'Output -Jobs vs Yr'!N14</f>
        <v>9.9176539006230066E-2</v>
      </c>
      <c r="E11" s="497">
        <f>(7.7/3)^(1/6)</f>
        <v>1.1701141873017888</v>
      </c>
      <c r="F11" s="109"/>
      <c r="G11" s="494">
        <f>(12.5/3)^(1/6)</f>
        <v>1.2685223586294079</v>
      </c>
      <c r="H11"/>
      <c r="I11"/>
      <c r="J11"/>
      <c r="K11"/>
      <c r="L11"/>
      <c r="M11" t="s">
        <v>0</v>
      </c>
      <c r="N11" t="s">
        <v>0</v>
      </c>
      <c r="O11" s="111" t="s">
        <v>0</v>
      </c>
      <c r="P11" s="31" t="s">
        <v>0</v>
      </c>
    </row>
    <row r="12" spans="1:20" ht="15" thickBot="1">
      <c r="B12" t="s">
        <v>381</v>
      </c>
      <c r="C12" s="209">
        <v>0.22</v>
      </c>
      <c r="D12" s="125">
        <f>'Output - Jobs vs Yr (BAU)'!X18/'Output -Jobs vs Yr'!X14</f>
        <v>0.10358141257316383</v>
      </c>
      <c r="E12" s="497">
        <f>(D12/D11)^(1/10)</f>
        <v>1.0043550973966042</v>
      </c>
      <c r="F12" s="109"/>
      <c r="G12" s="495">
        <f>(C12/C11)^(1/10)</f>
        <v>1.009576582776887</v>
      </c>
      <c r="H12"/>
      <c r="I12"/>
      <c r="J12"/>
      <c r="K12"/>
      <c r="L12"/>
      <c r="M12" t="s">
        <v>0</v>
      </c>
      <c r="N12" t="s">
        <v>0</v>
      </c>
      <c r="O12" s="111" t="s">
        <v>0</v>
      </c>
      <c r="P12" s="31" t="s">
        <v>0</v>
      </c>
    </row>
    <row r="13" spans="1:20" ht="15" thickBot="1">
      <c r="B13" t="s">
        <v>578</v>
      </c>
      <c r="C13" s="524">
        <v>0.25</v>
      </c>
      <c r="D13" s="172">
        <f>'Output - Jobs vs Yr (BAU)'!AH18/'Output -Jobs vs Yr'!AH14</f>
        <v>0.12712568932523013</v>
      </c>
      <c r="E13" s="497">
        <f>(D13/D12)^(1/10)</f>
        <v>1.0206930300809613</v>
      </c>
      <c r="F13" s="109"/>
      <c r="G13" s="496">
        <f>(C13/C12)^(1/10)</f>
        <v>1.0128653932829546</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1.6360596177292448E-7</v>
      </c>
      <c r="D17" s="126">
        <f>'Output - Jobs vs Yr (BAU)'!N10/'Output -Jobs vs Yr'!$N$14</f>
        <v>8.1129365247121146E-8</v>
      </c>
      <c r="E17" s="105">
        <f t="shared" ref="E17:E23" si="0">IF($C$24&lt;&gt;0,C17/$C$24,0)</f>
        <v>8.180298088646224E-7</v>
      </c>
      <c r="F17" s="172">
        <f>C17*$C$12/$C$11</f>
        <v>1.7996655795021691E-7</v>
      </c>
      <c r="G17" s="105">
        <f>'Output - Jobs vs Yr (BAU)'!X10/'Output - Jobs vs Yr (BAU)'!X24</f>
        <v>1.0790977366800986E-7</v>
      </c>
      <c r="H17" s="105">
        <f t="shared" ref="H17:H23" si="1">G17/$G$24</f>
        <v>1.0417876538838462E-6</v>
      </c>
      <c r="I17" s="172">
        <f>F17*$C$13/$C$12</f>
        <v>2.0450745221615557E-7</v>
      </c>
      <c r="J17" s="105">
        <f>'Output - Jobs vs Yr (BAU)'!AH10/'Output - Jobs vs Yr (BAU)'!AH24</f>
        <v>1.3976326617709155E-7</v>
      </c>
      <c r="K17" s="105">
        <f>J17/$J$24</f>
        <v>1.0994103059167897E-6</v>
      </c>
      <c r="L17" s="105"/>
      <c r="M17" s="45" t="s">
        <v>259</v>
      </c>
      <c r="N17" s="86">
        <f>HLOOKUP(N16,'Output -Jobs vs Yr'!$H$175:$AH$184,9)</f>
        <v>321.29638798137785</v>
      </c>
      <c r="O17" s="86">
        <f>HLOOKUP(O16,'Output -Jobs vs Yr'!$H$175:$AH$184,9)</f>
        <v>356.38020871619028</v>
      </c>
      <c r="P17" s="86">
        <f>HLOOKUP(P16,'Output -Jobs vs Yr'!$H$175:$AH$184,9)</f>
        <v>381.340203582914</v>
      </c>
      <c r="Q17" s="86">
        <f>HLOOKUP(Q16,'Output -Jobs vs Yr'!$H$175:$AH$184,9)</f>
        <v>363.81356089545534</v>
      </c>
    </row>
    <row r="18" spans="2:17" ht="15" thickBot="1">
      <c r="B18" s="4" t="s">
        <v>354</v>
      </c>
      <c r="C18" s="195">
        <f>D18*$C$11/$D$11</f>
        <v>3.7879484138410785E-7</v>
      </c>
      <c r="D18" s="126">
        <f>'Output - Jobs vs Yr (BAU)'!N15/'Output -Jobs vs Yr'!$N$14</f>
        <v>1.8783780680944851E-7</v>
      </c>
      <c r="E18" s="105">
        <f t="shared" si="0"/>
        <v>1.8939742069205391E-6</v>
      </c>
      <c r="F18" s="172">
        <f t="shared" ref="F18:F23" si="2">C18*$C$12/$C$11</f>
        <v>4.1667432552251859E-7</v>
      </c>
      <c r="G18" s="105">
        <f>'Output - Jobs vs Yr (BAU)'!X15/'Output - Jobs vs Yr (BAU)'!X24</f>
        <v>1.9498550239365916E-7</v>
      </c>
      <c r="H18" s="105">
        <f t="shared" si="1"/>
        <v>1.882438283162415E-6</v>
      </c>
      <c r="I18" s="172">
        <f t="shared" ref="I18:I24" si="3">F18*$C$13/$C$12</f>
        <v>4.7349355173013478E-7</v>
      </c>
      <c r="J18" s="105">
        <f>'Output - Jobs vs Yr (BAU)'!AH15/'Output - Jobs vs Yr (BAU)'!AH24</f>
        <v>1.9185182260750072E-7</v>
      </c>
      <c r="K18" s="105">
        <f t="shared" ref="K18:K24" si="4">J18/$J$24</f>
        <v>1.5091509861850836E-6</v>
      </c>
      <c r="L18" s="105"/>
      <c r="M18" s="46" t="s">
        <v>260</v>
      </c>
      <c r="N18" s="87">
        <f>HLOOKUP(N16,'Output -Jobs vs Yr'!$H$175:$AH$184,10)</f>
        <v>289.16620469962982</v>
      </c>
      <c r="O18" s="87">
        <f>HLOOKUP(O16,'Output -Jobs vs Yr'!$H$175:$AH$184,10)</f>
        <v>320.7416108683301</v>
      </c>
      <c r="P18" s="87">
        <f>HLOOKUP(P16,'Output -Jobs vs Yr'!$H$175:$AH$184,10)</f>
        <v>343.20551686017097</v>
      </c>
      <c r="Q18" s="87">
        <f>HLOOKUP(Q16,'Output -Jobs vs Yr'!$H$175:$AH$184,10)</f>
        <v>327.43162091597333</v>
      </c>
    </row>
    <row r="19" spans="2:17" ht="15" thickBot="1">
      <c r="B19" s="4" t="s">
        <v>355</v>
      </c>
      <c r="C19" s="195">
        <f>D19*$C$11/$D$11</f>
        <v>2.1063243222314221E-7</v>
      </c>
      <c r="D19" s="126">
        <f>'Output - Jobs vs Yr (BAU)'!N11/'Output -Jobs vs Yr'!$N$14</f>
        <v>1.0444897815177786E-7</v>
      </c>
      <c r="E19" s="105">
        <f t="shared" si="0"/>
        <v>1.053162161115711E-6</v>
      </c>
      <c r="F19" s="172">
        <f t="shared" si="2"/>
        <v>2.3169567544545642E-7</v>
      </c>
      <c r="G19" s="105">
        <f>'Output - Jobs vs Yr (BAU)'!X11/'Output - Jobs vs Yr (BAU)'!X24</f>
        <v>2.2926824339551705E-7</v>
      </c>
      <c r="H19" s="105">
        <f t="shared" si="1"/>
        <v>2.2134123469845966E-6</v>
      </c>
      <c r="I19" s="172">
        <f t="shared" si="3"/>
        <v>2.6329054027892776E-7</v>
      </c>
      <c r="J19" s="105">
        <f>'Output - Jobs vs Yr (BAU)'!AH11/'Output - Jobs vs Yr (BAU)'!AH24</f>
        <v>3.7479730805409335E-7</v>
      </c>
      <c r="K19" s="105">
        <f t="shared" si="4"/>
        <v>2.9482426561384964E-6</v>
      </c>
      <c r="L19" s="105"/>
      <c r="M19" s="46" t="s">
        <v>261</v>
      </c>
      <c r="N19" s="87">
        <f>HLOOKUP(N16,'Output -Jobs vs Yr'!$H$175:$AH$184,8)</f>
        <v>610.46259268100766</v>
      </c>
      <c r="O19" s="87">
        <f>HLOOKUP(O16,'Output -Jobs vs Yr'!$H$175:$AH$184,8)</f>
        <v>677.12181958451947</v>
      </c>
      <c r="P19" s="87">
        <f>HLOOKUP(P16,'Output -Jobs vs Yr'!$H$175:$AH$184,8)</f>
        <v>724.54572044308406</v>
      </c>
      <c r="Q19" s="87">
        <f>HLOOKUP(Q16,'Output -Jobs vs Yr'!$H$175:$AH$184,8)</f>
        <v>691.24518181142957</v>
      </c>
    </row>
    <row r="20" spans="2:17" ht="15" thickBot="1">
      <c r="B20" s="4" t="s">
        <v>51</v>
      </c>
      <c r="C20" s="195">
        <f>D20*$C$11/$D$11</f>
        <v>4.0684206146316374E-8</v>
      </c>
      <c r="D20" s="126">
        <f>'Output - Jobs vs Yr (BAU)'!N12/'Output -Jobs vs Yr'!$N$14</f>
        <v>2.0174593789038255E-8</v>
      </c>
      <c r="E20" s="105">
        <f t="shared" si="0"/>
        <v>2.0342103073158186E-7</v>
      </c>
      <c r="F20" s="172">
        <f t="shared" si="2"/>
        <v>4.4752626760948006E-8</v>
      </c>
      <c r="G20" s="105">
        <f>'Output - Jobs vs Yr (BAU)'!X12/'Output - Jobs vs Yr (BAU)'!X24</f>
        <v>1.6655008413033344E-8</v>
      </c>
      <c r="H20" s="105">
        <f t="shared" si="1"/>
        <v>1.6079157197948487E-7</v>
      </c>
      <c r="I20" s="172">
        <f t="shared" si="3"/>
        <v>5.0855257682895459E-8</v>
      </c>
      <c r="J20" s="105">
        <f>'Output - Jobs vs Yr (BAU)'!AH12/'Output - Jobs vs Yr (BAU)'!AH24</f>
        <v>1.6568451941104911E-8</v>
      </c>
      <c r="K20" s="105">
        <f t="shared" si="4"/>
        <v>1.3033129029810459E-7</v>
      </c>
      <c r="L20" s="105"/>
      <c r="M20" s="47" t="s">
        <v>459</v>
      </c>
      <c r="N20" s="88">
        <f>HLOOKUP(N16,'Output -Jobs vs Yr'!$H$175:$AH$188,11)-HLOOKUP(N16,'Output -Jobs vs Yr'!$H$175:$AH$188,14)</f>
        <v>1903.1872233872746</v>
      </c>
      <c r="O20" s="88">
        <f>HLOOKUP(O16,'Output -Jobs vs Yr'!$H$175:$AH$188,11)-HLOOKUP(O16,'Output -Jobs vs Yr'!$H$175:$AH$188,14)</f>
        <v>8200.1512323439783</v>
      </c>
      <c r="P20" s="88">
        <f>HLOOKUP(P16,'Output -Jobs vs Yr'!$H$175:$AH$188,11)-HLOOKUP(P16,'Output -Jobs vs Yr'!$H$175:$AH$188,14)</f>
        <v>15348.071803940273</v>
      </c>
      <c r="Q20" s="88">
        <f>HLOOKUP(Q16,'Output -Jobs vs Yr'!$H$175:$AH$188,11)-HLOOKUP(Q16,'Output -Jobs vs Yr'!$H$175:$AH$188,14)</f>
        <v>8891.3964141554079</v>
      </c>
    </row>
    <row r="21" spans="2:17" ht="15" thickBot="1">
      <c r="B21" t="s">
        <v>356</v>
      </c>
      <c r="C21" s="195">
        <f t="shared" ref="C21:C23" si="5">D21*$C$11/$D$11</f>
        <v>7.5758968276821569E-7</v>
      </c>
      <c r="D21" s="126">
        <f>'Output - Jobs vs Yr (BAU)'!N13/'Output -Jobs vs Yr'!$N$14</f>
        <v>3.7567561361889702E-7</v>
      </c>
      <c r="E21" s="105">
        <f t="shared" si="0"/>
        <v>3.7879484138410782E-6</v>
      </c>
      <c r="F21" s="172">
        <f t="shared" si="2"/>
        <v>8.3334865104503718E-7</v>
      </c>
      <c r="G21" s="105">
        <f>'Output - Jobs vs Yr (BAU)'!X13/'Output - Jobs vs Yr (BAU)'!X24</f>
        <v>3.8997100478731832E-7</v>
      </c>
      <c r="H21" s="105">
        <f t="shared" si="1"/>
        <v>3.76487656632483E-6</v>
      </c>
      <c r="I21" s="172">
        <f t="shared" si="3"/>
        <v>9.4698710346026956E-7</v>
      </c>
      <c r="J21" s="105">
        <f>'Output - Jobs vs Yr (BAU)'!AH13/'Output - Jobs vs Yr (BAU)'!AH24</f>
        <v>0</v>
      </c>
      <c r="K21" s="105">
        <f t="shared" si="4"/>
        <v>0</v>
      </c>
      <c r="L21" s="105"/>
      <c r="N21" s="160"/>
    </row>
    <row r="22" spans="2:17" ht="15" thickBot="1">
      <c r="B22" s="4" t="s">
        <v>357</v>
      </c>
      <c r="C22" s="195">
        <f t="shared" si="5"/>
        <v>3.7879484138410785E-7</v>
      </c>
      <c r="D22" s="126">
        <f>'Output - Jobs vs Yr (BAU)'!N14/'Output -Jobs vs Yr'!$N$14</f>
        <v>1.8783780680944851E-7</v>
      </c>
      <c r="E22" s="105">
        <f t="shared" si="0"/>
        <v>1.8939742069205391E-6</v>
      </c>
      <c r="F22" s="172">
        <f t="shared" si="2"/>
        <v>4.1667432552251859E-7</v>
      </c>
      <c r="G22" s="105">
        <f>'Output - Jobs vs Yr (BAU)'!X14/'Output - Jobs vs Yr (BAU)'!X24</f>
        <v>1.9498550239365916E-7</v>
      </c>
      <c r="H22" s="105">
        <f t="shared" si="1"/>
        <v>1.882438283162415E-6</v>
      </c>
      <c r="I22" s="172">
        <f t="shared" si="3"/>
        <v>4.7349355173013478E-7</v>
      </c>
      <c r="J22" s="105">
        <f>'Output - Jobs vs Yr (BAU)'!AH14/'Output - Jobs vs Yr (BAU)'!AH24</f>
        <v>1.9185182260750072E-7</v>
      </c>
      <c r="K22" s="105">
        <f t="shared" si="4"/>
        <v>1.5091509861850836E-6</v>
      </c>
      <c r="L22" s="105"/>
      <c r="O22" t="s">
        <v>0</v>
      </c>
    </row>
    <row r="23" spans="2:17" ht="15" thickBot="1">
      <c r="B23" t="s">
        <v>358</v>
      </c>
      <c r="C23" s="195">
        <f t="shared" si="5"/>
        <v>0.19999806989803434</v>
      </c>
      <c r="D23" s="126">
        <f>'Output - Jobs vs Yr (BAU)'!N16/'Output -Jobs vs Yr'!$N$14</f>
        <v>9.9175581902065643E-2</v>
      </c>
      <c r="E23" s="105">
        <f t="shared" si="0"/>
        <v>0.99999034949017163</v>
      </c>
      <c r="F23" s="172">
        <f t="shared" si="2"/>
        <v>0.21999787688783776</v>
      </c>
      <c r="G23" s="105">
        <f>'Output - Jobs vs Yr (BAU)'!X16/'Output - Jobs vs Yr (BAU)'!X24</f>
        <v>0.10358021820750747</v>
      </c>
      <c r="H23" s="105">
        <f t="shared" si="1"/>
        <v>0.9999890542552945</v>
      </c>
      <c r="I23" s="172">
        <f t="shared" si="3"/>
        <v>0.24999758737254291</v>
      </c>
      <c r="J23" s="105">
        <f>'Output - Jobs vs Yr (BAU)'!AH16/'Output - Jobs vs Yr (BAU)'!AH24</f>
        <v>0.12712475010326355</v>
      </c>
      <c r="K23" s="105">
        <f t="shared" si="4"/>
        <v>0.99999280371377519</v>
      </c>
      <c r="L23" s="105"/>
      <c r="M23" s="44"/>
      <c r="N23" s="197"/>
      <c r="O23" t="s">
        <v>0</v>
      </c>
    </row>
    <row r="24" spans="2:17">
      <c r="B24" s="108" t="s">
        <v>370</v>
      </c>
      <c r="C24" s="137">
        <f t="shared" ref="C24:H24" si="6">SUM(C17:C23)</f>
        <v>0.2</v>
      </c>
      <c r="D24" s="205">
        <f t="shared" si="6"/>
        <v>9.9176539006230066E-2</v>
      </c>
      <c r="E24" s="200">
        <f t="shared" si="6"/>
        <v>1</v>
      </c>
      <c r="F24" s="200">
        <f t="shared" si="6"/>
        <v>0.22</v>
      </c>
      <c r="G24" s="200">
        <f t="shared" si="6"/>
        <v>0.10358135198254252</v>
      </c>
      <c r="H24" s="105">
        <f t="shared" si="6"/>
        <v>1</v>
      </c>
      <c r="I24" s="172">
        <f t="shared" si="3"/>
        <v>0.25</v>
      </c>
      <c r="J24" s="105">
        <f>SUM(J17:J23)</f>
        <v>0.12712566493593494</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20%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1.6507265472743247E-2</v>
      </c>
      <c r="D28" s="105">
        <f>('Output - Jobs vs Yr (BAU)'!N8+'Output - Jobs vs Yr (BAU)'!N7)/'Output -Jobs vs Yr'!N14</f>
        <v>1.6507265472743247E-2</v>
      </c>
      <c r="E28" s="136" t="s">
        <v>0</v>
      </c>
      <c r="F28" s="98"/>
      <c r="G28" s="98" t="s">
        <v>0</v>
      </c>
      <c r="H28" s="135" t="s">
        <v>0</v>
      </c>
      <c r="I28" s="135"/>
      <c r="J28" s="135"/>
      <c r="K28" s="135"/>
      <c r="L28" s="135"/>
      <c r="M28"/>
    </row>
    <row r="29" spans="2:17" ht="15" thickBot="1">
      <c r="B29" t="s">
        <v>372</v>
      </c>
      <c r="C29" s="278">
        <f>D29</f>
        <v>1.7328064800760327E-2</v>
      </c>
      <c r="D29" s="105">
        <f>('Output - Jobs vs Yr (BAU)'!X8+'Output - Jobs vs Yr (BAU)'!X7)/'Output -Jobs vs Yr'!X14</f>
        <v>1.7328064800760327E-2</v>
      </c>
      <c r="E29" s="107"/>
      <c r="F29" s="98"/>
      <c r="G29" s="96"/>
      <c r="H29"/>
      <c r="I29"/>
      <c r="J29"/>
      <c r="K29"/>
      <c r="L29"/>
    </row>
    <row r="30" spans="2:17" ht="15" thickBot="1">
      <c r="B30" t="s">
        <v>580</v>
      </c>
      <c r="C30" s="210">
        <f>D30</f>
        <v>1.7183391827627882E-2</v>
      </c>
      <c r="D30" s="105">
        <f>('Output - Jobs vs Yr (BAU)'!AH8+'Output - Jobs vs Yr (BAU)'!AH7)/'Output -Jobs vs Yr'!AH14</f>
        <v>1.7183391827627882E-2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1.6507265472743247E-2</v>
      </c>
      <c r="D35" s="105">
        <f>'Output - Jobs vs Yr (BAU)'!N7/'Output -Jobs vs Yr'!N14</f>
        <v>1.6507265472743247E-2</v>
      </c>
      <c r="E35" s="203">
        <f>C35</f>
        <v>1.6507265472743247E-2</v>
      </c>
      <c r="F35" s="200">
        <f>C35*$C$29/$C$28</f>
        <v>1.7328064800760327E-2</v>
      </c>
      <c r="G35" s="204">
        <f>'Output - Jobs vs Yr (BAU)'!X7/'Output - Jobs vs Yr (BAU)'!X24</f>
        <v>1.7328054664596068E-2</v>
      </c>
      <c r="H35" s="200">
        <f>F35*$C$30/$C$29</f>
        <v>1.7183391827627882E-2</v>
      </c>
      <c r="I35" s="204">
        <f>'Output - Jobs vs Yr (BAU)'!AH7/'Output - Jobs vs Yr (BAU)'!AH24</f>
        <v>1.718338853096284E-2</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1.6507265472743247E-2</v>
      </c>
      <c r="D37" s="105">
        <f>SUM(D34:D36)</f>
        <v>1.6507265472743247E-2</v>
      </c>
      <c r="E37" s="203">
        <f>SUM(E34:E36)</f>
        <v>1.6507265472743247E-2</v>
      </c>
      <c r="F37" s="203">
        <f>SUM(F34:F36)</f>
        <v>1.7328064800760327E-2</v>
      </c>
      <c r="G37" s="203">
        <f>SUM(G34:G36)</f>
        <v>1.7328054664596068E-2</v>
      </c>
      <c r="H37" s="200">
        <f>C37*$C$30/$C$28</f>
        <v>1.7183391827627882E-2</v>
      </c>
      <c r="I37" s="203">
        <f>SUM(I34:I36)</f>
        <v>1.718338853096284E-2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1,7%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0.2</v>
      </c>
      <c r="D40" s="105" t="s">
        <v>0</v>
      </c>
      <c r="E40" s="105" t="s">
        <v>0</v>
      </c>
      <c r="F40" s="105" t="s">
        <v>0</v>
      </c>
      <c r="G40" s="103" t="s">
        <v>0</v>
      </c>
      <c r="H40"/>
      <c r="I40"/>
      <c r="J40"/>
      <c r="K40"/>
      <c r="L40"/>
    </row>
    <row r="41" spans="1:18">
      <c r="B41" s="4" t="s">
        <v>375</v>
      </c>
      <c r="C41" s="105">
        <f>C24+C37</f>
        <v>0.21650726547274327</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4" t="s">
        <v>596</v>
      </c>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298"/>
      <c r="AH78" s="298"/>
      <c r="AI78" s="298"/>
      <c r="AJ78" s="298"/>
      <c r="AK78" s="298"/>
    </row>
    <row r="79" spans="1:37" customFormat="1" ht="15" customHeight="1">
      <c r="A79" s="565" t="s">
        <v>597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297"/>
      <c r="AH79" s="297"/>
      <c r="AI79" s="297"/>
      <c r="AJ79" s="297"/>
      <c r="AK79" s="297"/>
    </row>
    <row r="80" spans="1:37" customFormat="1" ht="15" customHeight="1">
      <c r="A80" s="565" t="s">
        <v>598</v>
      </c>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297"/>
      <c r="AH80" s="297"/>
      <c r="AI80" s="297"/>
      <c r="AJ80" s="297"/>
      <c r="AK80" s="297"/>
    </row>
    <row r="81" spans="1:37" customFormat="1" ht="15" customHeight="1">
      <c r="A81" s="565" t="s">
        <v>599</v>
      </c>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297"/>
      <c r="AH81" s="297"/>
      <c r="AI81" s="297"/>
      <c r="AJ81" s="297"/>
      <c r="AK81" s="297"/>
    </row>
    <row r="82" spans="1:37" customFormat="1" ht="15" customHeight="1">
      <c r="A82" s="565" t="s">
        <v>600</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297"/>
      <c r="AH82" s="297"/>
      <c r="AI82" s="297"/>
      <c r="AJ82" s="297"/>
      <c r="AK82" s="297"/>
    </row>
    <row r="83" spans="1:37" customFormat="1" ht="15" customHeight="1">
      <c r="A83" s="565" t="s">
        <v>601</v>
      </c>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297"/>
      <c r="AH83" s="297"/>
      <c r="AI83" s="297"/>
      <c r="AJ83" s="297"/>
      <c r="AK83" s="297"/>
    </row>
    <row r="84" spans="1:37" customFormat="1" ht="15" customHeight="1">
      <c r="A84" s="565" t="s">
        <v>602</v>
      </c>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297"/>
      <c r="AH84" s="297"/>
      <c r="AI84" s="297"/>
      <c r="AJ84" s="297"/>
      <c r="AK84" s="297"/>
    </row>
    <row r="85" spans="1:37" customFormat="1" ht="15" customHeight="1">
      <c r="A85" s="565" t="s">
        <v>603</v>
      </c>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297"/>
      <c r="AH85" s="297"/>
      <c r="AI85" s="297"/>
      <c r="AJ85" s="297"/>
      <c r="AK85" s="297"/>
    </row>
    <row r="86" spans="1:37" customFormat="1" ht="15" customHeight="1">
      <c r="A86" s="565" t="s">
        <v>604</v>
      </c>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297"/>
      <c r="AH86" s="297"/>
      <c r="AI86" s="297"/>
      <c r="AJ86" s="297"/>
      <c r="AK86" s="297"/>
    </row>
    <row r="87" spans="1:37" customFormat="1" ht="15" customHeight="1">
      <c r="A87" s="565" t="s">
        <v>605</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297"/>
      <c r="AH87" s="297"/>
      <c r="AI87" s="297"/>
      <c r="AJ87" s="297"/>
      <c r="AK87" s="297"/>
    </row>
    <row r="88" spans="1:37" customFormat="1" ht="15" customHeight="1">
      <c r="A88" s="565" t="s">
        <v>606</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297"/>
      <c r="AH88" s="297"/>
      <c r="AI88" s="297"/>
      <c r="AJ88" s="297"/>
      <c r="AK88" s="297"/>
    </row>
    <row r="89" spans="1:37" customFormat="1" ht="15" customHeight="1">
      <c r="A89" s="565" t="s">
        <v>607</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297"/>
      <c r="AH89" s="297"/>
      <c r="AI89" s="297"/>
      <c r="AJ89" s="297"/>
      <c r="AK89" s="297"/>
    </row>
    <row r="90" spans="1:37" customFormat="1" ht="15" customHeight="1">
      <c r="A90" s="565" t="s">
        <v>608</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297"/>
      <c r="AH90" s="297"/>
      <c r="AI90" s="297"/>
      <c r="AJ90" s="297"/>
      <c r="AK90" s="297"/>
    </row>
    <row r="91" spans="1:37" customFormat="1" ht="15" customHeight="1">
      <c r="A91" s="565" t="s">
        <v>609</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297"/>
      <c r="AH91" s="297"/>
      <c r="AI91" s="297"/>
      <c r="AJ91" s="297"/>
      <c r="AK91" s="297"/>
    </row>
    <row r="92" spans="1:37" customFormat="1" ht="15" customHeight="1">
      <c r="A92" s="565" t="s">
        <v>610</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297"/>
      <c r="AH92" s="297"/>
      <c r="AI92" s="297"/>
      <c r="AJ92" s="297"/>
      <c r="AK92" s="297"/>
    </row>
    <row r="93" spans="1:37" customFormat="1" ht="15" customHeight="1">
      <c r="A93" s="565" t="s">
        <v>611</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297"/>
      <c r="AH93" s="297"/>
      <c r="AI93" s="297"/>
      <c r="AJ93" s="297"/>
      <c r="AK93" s="297"/>
    </row>
    <row r="94" spans="1:37" customFormat="1" ht="15" customHeight="1">
      <c r="A94" s="565" t="s">
        <v>612</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297"/>
      <c r="AH94" s="297"/>
      <c r="AI94" s="297"/>
      <c r="AJ94" s="297"/>
      <c r="AK94" s="297"/>
    </row>
    <row r="95" spans="1:37" customFormat="1" ht="15" customHeight="1">
      <c r="A95" s="565" t="s">
        <v>613</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297"/>
      <c r="AH95" s="297"/>
      <c r="AI95" s="297"/>
      <c r="AJ95" s="297"/>
      <c r="AK95" s="297"/>
    </row>
    <row r="96" spans="1:37" customFormat="1" ht="15" customHeight="1">
      <c r="A96" s="565" t="s">
        <v>614</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297"/>
      <c r="AH96" s="297"/>
      <c r="AI96" s="297"/>
      <c r="AJ96" s="297"/>
      <c r="AK96" s="297"/>
    </row>
    <row r="97" spans="1:37" customFormat="1" ht="15" customHeight="1">
      <c r="A97" s="565" t="s">
        <v>615</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297"/>
      <c r="AH97" s="297"/>
      <c r="AI97" s="297"/>
      <c r="AJ97" s="297"/>
      <c r="AK97" s="297"/>
    </row>
    <row r="98" spans="1:37" customFormat="1" ht="15" customHeight="1">
      <c r="A98" s="565" t="s">
        <v>616</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297"/>
      <c r="AH98" s="297"/>
      <c r="AI98" s="297"/>
      <c r="AJ98" s="297"/>
      <c r="AK98" s="297"/>
    </row>
    <row r="99" spans="1:37" customFormat="1" ht="15" customHeight="1">
      <c r="A99" s="565" t="s">
        <v>617</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297"/>
      <c r="AH99" s="297"/>
      <c r="AI99" s="297"/>
      <c r="AJ99" s="297"/>
      <c r="AK99" s="297"/>
    </row>
    <row r="100" spans="1:37" customFormat="1" ht="15" customHeight="1">
      <c r="A100" s="565" t="s">
        <v>618</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297"/>
      <c r="AH100" s="297"/>
      <c r="AI100" s="297"/>
      <c r="AJ100" s="297"/>
      <c r="AK100" s="297"/>
    </row>
    <row r="101" spans="1:37" customFormat="1" ht="15" customHeight="1">
      <c r="A101" s="565" t="s">
        <v>619</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297"/>
      <c r="AH101" s="297"/>
      <c r="AI101" s="297"/>
      <c r="AJ101" s="297"/>
      <c r="AK101" s="297"/>
    </row>
    <row r="102" spans="1:37" customFormat="1" ht="15" customHeight="1">
      <c r="A102" s="565" t="s">
        <v>620</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297"/>
      <c r="AH102" s="297"/>
      <c r="AI102" s="297"/>
      <c r="AJ102" s="297"/>
      <c r="AK102" s="297"/>
    </row>
    <row r="103" spans="1:37" customFormat="1" ht="15" customHeight="1">
      <c r="A103" s="565" t="s">
        <v>621</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297"/>
      <c r="AH103" s="297"/>
      <c r="AI103" s="297"/>
      <c r="AJ103" s="297"/>
      <c r="AK103" s="297"/>
    </row>
    <row r="104" spans="1:37" customFormat="1" ht="15" customHeight="1">
      <c r="A104" s="565" t="s">
        <v>622</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297"/>
      <c r="AH104" s="297"/>
      <c r="AI104" s="297"/>
      <c r="AJ104" s="297"/>
      <c r="AK104" s="297"/>
    </row>
    <row r="105" spans="1:37" customFormat="1" ht="15" customHeight="1">
      <c r="A105" s="565" t="s">
        <v>623</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297"/>
      <c r="AH105" s="297"/>
      <c r="AI105" s="297"/>
      <c r="AJ105" s="297"/>
      <c r="AK105" s="297"/>
    </row>
    <row r="106" spans="1:37" customFormat="1" ht="15" customHeight="1">
      <c r="A106" s="565" t="s">
        <v>624</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297"/>
      <c r="AH106" s="297"/>
      <c r="AI106" s="297"/>
      <c r="AJ106" s="297"/>
      <c r="AK106" s="297"/>
    </row>
    <row r="107" spans="1:37" customFormat="1" ht="15" customHeight="1">
      <c r="A107" s="565" t="s">
        <v>625</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297"/>
      <c r="AH107" s="297"/>
      <c r="AI107" s="297"/>
      <c r="AJ107" s="297"/>
      <c r="AK107" s="297"/>
    </row>
    <row r="108" spans="1:37" customFormat="1" ht="15" customHeight="1">
      <c r="A108" s="565" t="s">
        <v>626</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297"/>
      <c r="AH108" s="297"/>
      <c r="AI108" s="297"/>
      <c r="AJ108" s="297"/>
      <c r="AK108" s="297"/>
    </row>
    <row r="109" spans="1:37" customFormat="1" ht="15" customHeight="1">
      <c r="A109" s="565" t="s">
        <v>627</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297"/>
      <c r="AH109" s="297"/>
      <c r="AI109" s="297"/>
      <c r="AJ109" s="297"/>
      <c r="AK109" s="297"/>
    </row>
  </sheetData>
  <mergeCells count="32">
    <mergeCell ref="A109:AF109"/>
    <mergeCell ref="A102:AF102"/>
    <mergeCell ref="A103:AF103"/>
    <mergeCell ref="A104:AF104"/>
    <mergeCell ref="A105:AF105"/>
    <mergeCell ref="A106:AF106"/>
    <mergeCell ref="A107:AF107"/>
    <mergeCell ref="A98:AF98"/>
    <mergeCell ref="A99:AF99"/>
    <mergeCell ref="A100:AF100"/>
    <mergeCell ref="A101:AF101"/>
    <mergeCell ref="A108:AF108"/>
    <mergeCell ref="A93:AF93"/>
    <mergeCell ref="A94:AF94"/>
    <mergeCell ref="A95:AF95"/>
    <mergeCell ref="A96:AF96"/>
    <mergeCell ref="A97:AF97"/>
    <mergeCell ref="A88:AF88"/>
    <mergeCell ref="A89:AF89"/>
    <mergeCell ref="A90:AF90"/>
    <mergeCell ref="A91:AF91"/>
    <mergeCell ref="A92:AF92"/>
    <mergeCell ref="A83:AF83"/>
    <mergeCell ref="A84:AF84"/>
    <mergeCell ref="A85:AF85"/>
    <mergeCell ref="A86:AF86"/>
    <mergeCell ref="A87:AF87"/>
    <mergeCell ref="A78:AF78"/>
    <mergeCell ref="A79:AF79"/>
    <mergeCell ref="A80:AF80"/>
    <mergeCell ref="A81:AF81"/>
    <mergeCell ref="A82:AF82"/>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28" activePane="bottomRight" state="frozen"/>
      <selection activeCell="A10" sqref="A10"/>
      <selection pane="topRight" activeCell="C10" sqref="C10"/>
      <selection pane="bottomLeft" activeCell="A13" sqref="A13"/>
      <selection pane="bottomRight" activeCell="D188" sqref="D188:AB188"/>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row>
    <row r="2" spans="1:38" hidden="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row>
    <row r="3" spans="1:38" hidden="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row>
    <row r="4" spans="1:38" hidden="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row>
    <row r="5" spans="1:38" hidden="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1:38" hidden="1">
      <c r="A6" s="535"/>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row>
    <row r="7" spans="1:38" ht="23.25" hidden="1" customHeight="1">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38" s="159" customFormat="1" ht="15.75" hidden="1" customHeight="1">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row>
    <row r="9" spans="1:38" ht="21" hidden="1" customHeight="1">
      <c r="A9" s="535"/>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45745</v>
      </c>
      <c r="D13" s="330">
        <f>EIA_electricity_aeo2014!F58*1000</f>
        <v>47841</v>
      </c>
      <c r="E13" s="330">
        <f>EIA_electricity_aeo2014!G58*1000</f>
        <v>47890.414943208736</v>
      </c>
      <c r="F13" s="330">
        <f>EIA_electricity_aeo2014!H58*1000</f>
        <v>49190.443875051271</v>
      </c>
      <c r="G13" s="330">
        <f>EIA_electricity_aeo2014!I58*1000</f>
        <v>46459.549111349137</v>
      </c>
      <c r="H13" s="286">
        <f>EIA_electricity_aeo2014!J58*1000</f>
        <v>48006.208270287447</v>
      </c>
      <c r="I13" s="83">
        <f>EIA_electricity_aeo2014!K58*1000</f>
        <v>51654.576392041912</v>
      </c>
      <c r="J13" s="83">
        <f>EIA_electricity_aeo2014!L58*1000</f>
        <v>51633.886563990272</v>
      </c>
      <c r="K13" s="83">
        <f>EIA_electricity_aeo2014!M58*1000</f>
        <v>52958.720676670171</v>
      </c>
      <c r="L13" s="83">
        <f>EIA_electricity_aeo2014!N58*1000</f>
        <v>53270.930984660125</v>
      </c>
      <c r="M13" s="83">
        <f>EIA_electricity_aeo2014!O58*1000</f>
        <v>53193.476198503442</v>
      </c>
      <c r="N13" s="177">
        <f>EIA_electricity_aeo2014!P58*1000</f>
        <v>53237.418866077744</v>
      </c>
      <c r="O13" s="83">
        <f>EIA_electricity_aeo2014!Q58*1000</f>
        <v>51946.072109586967</v>
      </c>
      <c r="P13" s="83">
        <f>EIA_electricity_aeo2014!R58*1000</f>
        <v>51419.116118860227</v>
      </c>
      <c r="Q13" s="83">
        <f>EIA_electricity_aeo2014!S58*1000</f>
        <v>51461.520431305027</v>
      </c>
      <c r="R13" s="83">
        <f>EIA_electricity_aeo2014!T58*1000</f>
        <v>51469.030525587666</v>
      </c>
      <c r="S13" s="83">
        <f>EIA_electricity_aeo2014!U58*1000</f>
        <v>51512.943987336221</v>
      </c>
      <c r="T13" s="83">
        <f>EIA_electricity_aeo2014!V58*1000</f>
        <v>51405.775123434527</v>
      </c>
      <c r="U13" s="83">
        <f>EIA_electricity_aeo2014!W58*1000</f>
        <v>51364.488328603526</v>
      </c>
      <c r="V13" s="83">
        <f>EIA_electricity_aeo2014!X58*1000</f>
        <v>51316.604931336624</v>
      </c>
      <c r="W13" s="83">
        <f>EIA_electricity_aeo2014!Y58*1000</f>
        <v>51306.692074154445</v>
      </c>
      <c r="X13" s="184">
        <f>EIA_electricity_aeo2014!Z58*1000</f>
        <v>51285.834216770592</v>
      </c>
      <c r="Y13" s="174">
        <f>EIA_electricity_aeo2014!AA58*1000</f>
        <v>51241.136390811967</v>
      </c>
      <c r="Z13" s="174">
        <f>EIA_electricity_aeo2014!AB58*1000</f>
        <v>51111.720486122307</v>
      </c>
      <c r="AA13" s="174">
        <f>EIA_electricity_aeo2014!AC58*1000</f>
        <v>51078.304684539013</v>
      </c>
      <c r="AB13" s="174">
        <f>EIA_electricity_aeo2014!AD58*1000</f>
        <v>51068.848879207144</v>
      </c>
      <c r="AC13" s="174">
        <f>EIA_electricity_aeo2014!AE58*1000</f>
        <v>51063.794097920167</v>
      </c>
      <c r="AD13" s="174">
        <f>EIA_electricity_aeo2014!AF58*1000</f>
        <v>51478.747320997951</v>
      </c>
      <c r="AE13" s="174">
        <f>EIA_electricity_aeo2014!AG58*1000</f>
        <v>51935.273759859963</v>
      </c>
      <c r="AF13" s="174">
        <f>EIA_electricity_aeo2014!AH58*1000</f>
        <v>52034.703866083444</v>
      </c>
      <c r="AG13" s="174">
        <f>EIA_electricity_aeo2014!AI58*1000</f>
        <v>52066.635921000612</v>
      </c>
      <c r="AH13" s="184">
        <f>EIA_electricity_aeo2014!AJ58*1000</f>
        <v>52123.550068847821</v>
      </c>
      <c r="AI13" s="115">
        <f>X13/C13-1</f>
        <v>0.12112436805706839</v>
      </c>
      <c r="AJ13" s="165">
        <f>(1+AJ11)^21-1</f>
        <v>0.24007814276920247</v>
      </c>
      <c r="AK13" s="168">
        <f>(1+AK11)^21-1</f>
        <v>0.11389489977934208</v>
      </c>
      <c r="AL13" s="121"/>
    </row>
    <row r="14" spans="1:38" s="20" customFormat="1">
      <c r="A14" s="20" t="s">
        <v>131</v>
      </c>
      <c r="B14" s="33"/>
      <c r="C14" s="330">
        <f>EIA_electricity_aeo2014!E58 * 1000</f>
        <v>45745</v>
      </c>
      <c r="D14" s="330">
        <f>IF(Inputs!$C$7="BAU",'Output -Jobs vs Yr'!D13,C14+($X$14-$C$14)/($X$11-$C$11) )</f>
        <v>47841</v>
      </c>
      <c r="E14" s="330">
        <f>IF(Inputs!$C$7="BAU",'Output -Jobs vs Yr'!E13,D14+($X$14-$C$14)/($X$11-$C$11) )</f>
        <v>47890.414943208736</v>
      </c>
      <c r="F14" s="330">
        <f>IF(Inputs!$C$7="BAU",'Output -Jobs vs Yr'!F13,E14+($X$14-$C$14)/($X$11-$C$11) )</f>
        <v>49190.443875051271</v>
      </c>
      <c r="G14" s="330">
        <f>IF(Inputs!$C$7="BAU",'Output -Jobs vs Yr'!G13,F14+($X$14-$C$14)/($X$11-$C$11) )</f>
        <v>46459.549111349137</v>
      </c>
      <c r="H14" s="286">
        <f>EIA_electricity_aeo2014!J58*1000</f>
        <v>48006.208270287447</v>
      </c>
      <c r="I14" s="83">
        <f>IF(Inputs!$C$7="BAU",'Output -Jobs vs Yr'!I13,H14+($X$14-$C$14)/($X$11-$C$11) )</f>
        <v>51654.576392041912</v>
      </c>
      <c r="J14" s="83">
        <f>IF(Inputs!$C$7="BAU",'Output -Jobs vs Yr'!J13,I14+($X$14-$C$14)/($X$11-$C$11) )</f>
        <v>51633.886563990272</v>
      </c>
      <c r="K14" s="83">
        <f>IF(Inputs!$C$7="BAU",'Output -Jobs vs Yr'!K13,J14+($X$14-$C$14)/($X$11-$C$11) )</f>
        <v>52958.720676670171</v>
      </c>
      <c r="L14" s="83">
        <f>IF(Inputs!$C$7="BAU",'Output -Jobs vs Yr'!L13,K14+($X$14-$C$14)/($X$11-$C$11) )</f>
        <v>53270.930984660125</v>
      </c>
      <c r="M14" s="83">
        <f>IF(Inputs!$C$7="BAU",'Output -Jobs vs Yr'!M13,L14+($X$14-$C$14)/($X$11-$C$11) )</f>
        <v>53193.476198503442</v>
      </c>
      <c r="N14" s="177">
        <f>IF(Inputs!$C$7="BAU",'Output -Jobs vs Yr'!N13,M14+($X$14-$C$14)/($X$11-$C$11) )</f>
        <v>53237.418866077744</v>
      </c>
      <c r="O14" s="83">
        <f>IF(Inputs!$C$7="BAU",'Output -Jobs vs Yr'!O13,N14+($X$14-$C$14)/($X$11-$C$11) )</f>
        <v>51946.072109586967</v>
      </c>
      <c r="P14" s="83">
        <f>IF(Inputs!$C$7="BAU",'Output -Jobs vs Yr'!P13,O14+($X$14-$C$14)/($X$11-$C$11) )</f>
        <v>51419.116118860227</v>
      </c>
      <c r="Q14" s="83">
        <f>IF(Inputs!$C$7="BAU",'Output -Jobs vs Yr'!Q13,P14+($X$14-$C$14)/($X$11-$C$11) )</f>
        <v>51461.520431305027</v>
      </c>
      <c r="R14" s="83">
        <f>IF(Inputs!$C$7="BAU",'Output -Jobs vs Yr'!R13,Q14+($X$14-$C$14)/($X$11-$C$11) )</f>
        <v>51469.030525587666</v>
      </c>
      <c r="S14" s="83">
        <f>IF(Inputs!$C$7="BAU",'Output -Jobs vs Yr'!S13,R14+($X$14-$C$14)/($X$11-$C$11) )</f>
        <v>51512.943987336221</v>
      </c>
      <c r="T14" s="83">
        <f>IF(Inputs!$C$7="BAU",'Output -Jobs vs Yr'!T13,S14+($X$14-$C$14)/($X$11-$C$11) )</f>
        <v>51405.775123434527</v>
      </c>
      <c r="U14" s="83">
        <f>IF(Inputs!$C$7="BAU",'Output -Jobs vs Yr'!U13,T14+($X$14-$C$14)/($X$11-$C$11) )</f>
        <v>51364.488328603526</v>
      </c>
      <c r="V14" s="83">
        <f>IF(Inputs!$C$7="BAU",'Output -Jobs vs Yr'!V13,U14+($X$14-$C$14)/($X$11-$C$11) )</f>
        <v>51316.604931336624</v>
      </c>
      <c r="W14" s="83">
        <f>IF(Inputs!$C$7="BAU",'Output -Jobs vs Yr'!W13,V14+($X$14-$C$14)/($X$11-$C$11) )</f>
        <v>51306.692074154445</v>
      </c>
      <c r="X14" s="184">
        <f>IF(Inputs!$C$7="BAU",'Output -Jobs vs Yr'!X13,C14*(1+Inputs!C7) )</f>
        <v>51285.834216770592</v>
      </c>
      <c r="Y14" s="174">
        <f>IF(Inputs!$C$7="BAU",'Output -Jobs vs Yr'!Y13,D14*(1+Inputs!D7) )</f>
        <v>51241.136390811967</v>
      </c>
      <c r="Z14" s="174">
        <f>IF(Inputs!$C$7="BAU",'Output -Jobs vs Yr'!Z13,E14*(1+Inputs!E7) )</f>
        <v>51111.720486122307</v>
      </c>
      <c r="AA14" s="174">
        <f>IF(Inputs!$C$7="BAU",'Output -Jobs vs Yr'!AA13,F14*(1+Inputs!F7) )</f>
        <v>51078.304684539013</v>
      </c>
      <c r="AB14" s="174">
        <f>IF(Inputs!$C$7="BAU",'Output -Jobs vs Yr'!AB13,G14*(1+Inputs!G7) )</f>
        <v>51068.848879207144</v>
      </c>
      <c r="AC14" s="174">
        <f>IF(Inputs!$C$7="BAU",'Output -Jobs vs Yr'!AC13,H14*(1+Inputs!H7) )</f>
        <v>51063.794097920167</v>
      </c>
      <c r="AD14" s="174">
        <f>IF(Inputs!$C$7="BAU",'Output -Jobs vs Yr'!AD13,I14*(1+Inputs!L7) )</f>
        <v>51478.747320997951</v>
      </c>
      <c r="AE14" s="174">
        <f>IF(Inputs!$C$7="BAU",'Output -Jobs vs Yr'!AE13,J14*(1+Inputs!M7) )</f>
        <v>51935.273759859963</v>
      </c>
      <c r="AF14" s="174">
        <f>IF(Inputs!$C$7="BAU",'Output -Jobs vs Yr'!AF13,K14*(1+Inputs!N7) )</f>
        <v>52034.703866083444</v>
      </c>
      <c r="AG14" s="174">
        <f>IF(Inputs!$C$7="BAU",'Output -Jobs vs Yr'!AG13,L14*(1+Inputs!O7) )</f>
        <v>52066.635921000612</v>
      </c>
      <c r="AH14" s="184">
        <f>IF(Inputs!$C$7="BAU",'Output -Jobs vs Yr'!AH13,M14*(1+Inputs!P7) )</f>
        <v>52123.550068847821</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4.8661274456224729E-2</v>
      </c>
      <c r="D16" s="381">
        <f t="shared" si="1"/>
        <v>6.7870896390299709E-2</v>
      </c>
      <c r="E16" s="381">
        <f t="shared" si="1"/>
        <v>7.3726308430712567E-2</v>
      </c>
      <c r="F16" s="381">
        <f t="shared" si="1"/>
        <v>8.1927327894211949E-2</v>
      </c>
      <c r="G16" s="381">
        <f t="shared" si="1"/>
        <v>0.10207084404687884</v>
      </c>
      <c r="H16" s="381">
        <f t="shared" si="1"/>
        <v>9.9109392017921169E-2</v>
      </c>
      <c r="I16" s="381">
        <f t="shared" si="1"/>
        <v>0.11143172393403659</v>
      </c>
      <c r="J16" s="381">
        <f t="shared" si="1"/>
        <v>0.12528347133138173</v>
      </c>
      <c r="K16" s="381">
        <f t="shared" si="1"/>
        <v>0.14085091813875672</v>
      </c>
      <c r="L16" s="381">
        <f t="shared" si="1"/>
        <v>0.15835021029815957</v>
      </c>
      <c r="M16" s="381">
        <f t="shared" si="1"/>
        <v>0.1780208326349122</v>
      </c>
      <c r="N16" s="381">
        <f>Inputs!C11</f>
        <v>0.2</v>
      </c>
      <c r="O16" s="381">
        <f t="shared" ref="O16:W16" si="2">O95</f>
        <v>0.20206932242483222</v>
      </c>
      <c r="P16" s="381">
        <f t="shared" si="2"/>
        <v>0.2040240074785255</v>
      </c>
      <c r="Q16" s="381">
        <f t="shared" si="2"/>
        <v>0.2059954718327201</v>
      </c>
      <c r="R16" s="381">
        <f t="shared" si="2"/>
        <v>0.20798574440459197</v>
      </c>
      <c r="S16" s="381">
        <f t="shared" si="2"/>
        <v>0.20999472079292639</v>
      </c>
      <c r="T16" s="381">
        <f t="shared" si="2"/>
        <v>0.21202346045847675</v>
      </c>
      <c r="U16" s="381">
        <f t="shared" si="2"/>
        <v>0.21407117083398403</v>
      </c>
      <c r="V16" s="381">
        <f t="shared" si="2"/>
        <v>0.21613837210710693</v>
      </c>
      <c r="W16" s="381">
        <f t="shared" si="2"/>
        <v>0.21822498696461426</v>
      </c>
      <c r="X16" s="382">
        <f>Inputs!C12</f>
        <v>0.22</v>
      </c>
      <c r="Y16" s="383">
        <f>Y95</f>
        <v>0.22318168241404199</v>
      </c>
      <c r="Z16" s="383">
        <f t="shared" ref="Z16:AG16" si="3">Z95</f>
        <v>0.22606896884402669</v>
      </c>
      <c r="AA16" s="383">
        <f t="shared" si="3"/>
        <v>0.22899249926636048</v>
      </c>
      <c r="AB16" s="383">
        <f t="shared" si="3"/>
        <v>0.23195321953602771</v>
      </c>
      <c r="AC16" s="383">
        <f t="shared" si="3"/>
        <v>0.23495172625682381</v>
      </c>
      <c r="AD16" s="383">
        <f t="shared" si="3"/>
        <v>0.23798488193049905</v>
      </c>
      <c r="AE16" s="383">
        <f t="shared" si="3"/>
        <v>0.24105622777905916</v>
      </c>
      <c r="AF16" s="383">
        <f t="shared" si="3"/>
        <v>0.24416990345899228</v>
      </c>
      <c r="AG16" s="383">
        <f t="shared" si="3"/>
        <v>0.2473239798960036</v>
      </c>
      <c r="AH16" s="382">
        <f>Inputs!C13</f>
        <v>0.25</v>
      </c>
      <c r="AI16" s="384" t="s">
        <v>0</v>
      </c>
      <c r="AJ16" s="385"/>
      <c r="AK16" s="386"/>
      <c r="AL16" s="387"/>
    </row>
    <row r="17" spans="1:37" s="281" customFormat="1">
      <c r="A17" s="281" t="s">
        <v>115</v>
      </c>
      <c r="B17" s="282"/>
      <c r="C17" s="337"/>
      <c r="D17" s="332">
        <f>D16/C16-1</f>
        <v>0.39476199809266799</v>
      </c>
      <c r="E17" s="332">
        <f t="shared" ref="E17:M17" si="4">E16/D16-1</f>
        <v>8.6272796615807223E-2</v>
      </c>
      <c r="F17" s="332">
        <f t="shared" si="4"/>
        <v>0.11123599754362634</v>
      </c>
      <c r="G17" s="332">
        <f t="shared" si="4"/>
        <v>0.2458705375900585</v>
      </c>
      <c r="H17" s="284"/>
      <c r="I17" s="284">
        <f t="shared" si="4"/>
        <v>0.12433061756535935</v>
      </c>
      <c r="J17" s="284">
        <f t="shared" si="4"/>
        <v>0.12430703670657439</v>
      </c>
      <c r="K17" s="284">
        <f t="shared" si="4"/>
        <v>0.12425778629806827</v>
      </c>
      <c r="L17" s="284">
        <f t="shared" si="4"/>
        <v>0.12423981604552803</v>
      </c>
      <c r="M17" s="284">
        <f t="shared" si="4"/>
        <v>0.12422226847513862</v>
      </c>
      <c r="N17" s="284">
        <f>N16/M16-1</f>
        <v>0.12346401845093613</v>
      </c>
      <c r="O17" s="284">
        <f>O16/N16-1</f>
        <v>1.0346612124161103E-2</v>
      </c>
      <c r="P17" s="284">
        <f t="shared" ref="P17:X17" si="5">P16/O16-1</f>
        <v>9.6733389820733429E-3</v>
      </c>
      <c r="Q17" s="284">
        <f t="shared" si="5"/>
        <v>9.6629037854876199E-3</v>
      </c>
      <c r="R17" s="284">
        <f t="shared" si="5"/>
        <v>9.661729717476808E-3</v>
      </c>
      <c r="S17" s="284">
        <f t="shared" si="5"/>
        <v>9.6592023366099955E-3</v>
      </c>
      <c r="T17" s="284">
        <f t="shared" si="5"/>
        <v>9.6609079403995324E-3</v>
      </c>
      <c r="U17" s="284">
        <f t="shared" si="5"/>
        <v>9.6579424327822849E-3</v>
      </c>
      <c r="V17" s="284">
        <f t="shared" si="5"/>
        <v>9.6566074967938675E-3</v>
      </c>
      <c r="W17" s="284">
        <f t="shared" si="5"/>
        <v>9.6540694609901223E-3</v>
      </c>
      <c r="X17" s="283">
        <f t="shared" si="5"/>
        <v>8.1338670702890692E-3</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2226.0100000000002</v>
      </c>
      <c r="D19" s="330">
        <f t="shared" si="10"/>
        <v>3247.0115542083286</v>
      </c>
      <c r="E19" s="330">
        <f t="shared" si="10"/>
        <v>3530.7835029778134</v>
      </c>
      <c r="F19" s="330">
        <f t="shared" si="10"/>
        <v>4030.0416246131554</v>
      </c>
      <c r="G19" s="330">
        <f t="shared" si="10"/>
        <v>4742.1653918328266</v>
      </c>
      <c r="H19" s="286">
        <f t="shared" si="10"/>
        <v>4757.8661147538878</v>
      </c>
      <c r="I19" s="286">
        <f t="shared" si="10"/>
        <v>5755.958496447618</v>
      </c>
      <c r="J19" s="286">
        <f t="shared" si="10"/>
        <v>6468.8725470674917</v>
      </c>
      <c r="K19" s="286">
        <f t="shared" si="10"/>
        <v>7459.284430762953</v>
      </c>
      <c r="L19" s="286">
        <f t="shared" si="10"/>
        <v>8435.4631241996758</v>
      </c>
      <c r="M19" s="286">
        <f t="shared" si="10"/>
        <v>9469.5469236029676</v>
      </c>
      <c r="N19" s="287">
        <f t="shared" si="10"/>
        <v>10647.48377321555</v>
      </c>
      <c r="O19" s="286">
        <f t="shared" si="10"/>
        <v>10496.707593815714</v>
      </c>
      <c r="P19" s="286">
        <f t="shared" si="10"/>
        <v>10490.73413157351</v>
      </c>
      <c r="Q19" s="286">
        <f t="shared" si="10"/>
        <v>10600.840182475844</v>
      </c>
      <c r="R19" s="286">
        <f t="shared" si="10"/>
        <v>10704.824627647018</v>
      </c>
      <c r="S19" s="286">
        <f t="shared" si="10"/>
        <v>10817.446289842326</v>
      </c>
      <c r="T19" s="286">
        <f t="shared" si="10"/>
        <v>10899.230329220869</v>
      </c>
      <c r="U19" s="286">
        <f t="shared" si="10"/>
        <v>10995.656155792663</v>
      </c>
      <c r="V19" s="286">
        <f t="shared" si="10"/>
        <v>11091.487451922634</v>
      </c>
      <c r="W19" s="286">
        <f t="shared" si="10"/>
        <v>11196.402209079832</v>
      </c>
      <c r="X19" s="287">
        <f>Inputs!C12*'Output -Jobs vs Yr'!X14</f>
        <v>11282.88352768953</v>
      </c>
      <c r="Y19" s="286">
        <f t="shared" si="10"/>
        <v>11436.083028508807</v>
      </c>
      <c r="Z19" s="286">
        <f t="shared" si="10"/>
        <v>11554.773946141784</v>
      </c>
      <c r="AA19" s="286">
        <f t="shared" si="10"/>
        <v>11696.548648001237</v>
      </c>
      <c r="AB19" s="286">
        <f t="shared" si="10"/>
        <v>11845.583915530957</v>
      </c>
      <c r="AC19" s="286">
        <f t="shared" si="10"/>
        <v>11997.526572529354</v>
      </c>
      <c r="AD19" s="286">
        <f t="shared" si="10"/>
        <v>12251.163603117691</v>
      </c>
      <c r="AE19" s="286">
        <f t="shared" si="10"/>
        <v>12519.321181224597</v>
      </c>
      <c r="AF19" s="286">
        <f t="shared" si="10"/>
        <v>12705.308619498846</v>
      </c>
      <c r="AG19" s="286">
        <f t="shared" si="10"/>
        <v>12877.327615778095</v>
      </c>
      <c r="AH19" s="287">
        <f t="shared" si="10"/>
        <v>13030.887517211955</v>
      </c>
    </row>
    <row r="20" spans="1:37" s="20" customFormat="1">
      <c r="A20" s="20" t="s">
        <v>211</v>
      </c>
      <c r="B20" s="33"/>
      <c r="C20" s="330">
        <f>'Output - Jobs vs Yr (BAU)'!C18</f>
        <v>2226.0100000000002</v>
      </c>
      <c r="D20" s="330">
        <f>'Output - Jobs vs Yr (BAU)'!D18</f>
        <v>3247.01</v>
      </c>
      <c r="E20" s="330">
        <f>'Output - Jobs vs Yr (BAU)'!E18</f>
        <v>3530.78072470601</v>
      </c>
      <c r="F20" s="330">
        <f>'Output - Jobs vs Yr (BAU)'!F18</f>
        <v>4030.0371239508077</v>
      </c>
      <c r="G20" s="330">
        <f>'Output - Jobs vs Yr (BAU)'!G18</f>
        <v>4742.1602609012971</v>
      </c>
      <c r="H20" s="286">
        <f>'Output - Jobs vs Yr (BAU)'!H18</f>
        <v>4756.8661147538878</v>
      </c>
      <c r="I20" s="83">
        <f>'Output - Jobs vs Yr (BAU)'!I18</f>
        <v>5089.5772596433135</v>
      </c>
      <c r="J20" s="83">
        <f>'Output - Jobs vs Yr (BAU)'!J18</f>
        <v>5280.1115476240957</v>
      </c>
      <c r="K20" s="83">
        <f>'Output - Jobs vs Yr (BAU)'!K18</f>
        <v>5280.4181602803083</v>
      </c>
      <c r="L20" s="83">
        <f>'Output - Jobs vs Yr (BAU)'!L18</f>
        <v>5280.2899591309715</v>
      </c>
      <c r="M20" s="83">
        <f>'Output - Jobs vs Yr (BAU)'!M18</f>
        <v>5279.9846964800499</v>
      </c>
      <c r="N20" s="177">
        <f>'Output - Jobs vs Yr (BAU)'!N18</f>
        <v>5279.9029487625676</v>
      </c>
      <c r="O20" s="83">
        <f>'Output - Jobs vs Yr (BAU)'!O18</f>
        <v>5279.8687454653364</v>
      </c>
      <c r="P20" s="83">
        <f>'Output - Jobs vs Yr (BAU)'!P18</f>
        <v>5281.5897512452611</v>
      </c>
      <c r="Q20" s="83">
        <f>'Output - Jobs vs Yr (BAU)'!Q18</f>
        <v>5280.4324829263032</v>
      </c>
      <c r="R20" s="83">
        <f>'Output - Jobs vs Yr (BAU)'!R18</f>
        <v>5280.343003222737</v>
      </c>
      <c r="S20" s="83">
        <f>'Output - Jobs vs Yr (BAU)'!S18</f>
        <v>5285.4450025894394</v>
      </c>
      <c r="T20" s="83">
        <f>'Output - Jobs vs Yr (BAU)'!T18</f>
        <v>5293.4174845176394</v>
      </c>
      <c r="U20" s="83">
        <f>'Output - Jobs vs Yr (BAU)'!U18</f>
        <v>5301.0114102904272</v>
      </c>
      <c r="V20" s="83">
        <f>'Output - Jobs vs Yr (BAU)'!V18</f>
        <v>5304.5290691258051</v>
      </c>
      <c r="W20" s="83">
        <f>'Output - Jobs vs Yr (BAU)'!W18</f>
        <v>5305.9154105031394</v>
      </c>
      <c r="X20" s="184">
        <f>'Output - Jobs vs Yr (BAU)'!X18</f>
        <v>5312.2591531661974</v>
      </c>
      <c r="Y20" s="174">
        <f>'Output - Jobs vs Yr (BAU)'!Y18</f>
        <v>5319.9596321086001</v>
      </c>
      <c r="Z20" s="174">
        <f>'Output - Jobs vs Yr (BAU)'!Z18</f>
        <v>5327.5689861743267</v>
      </c>
      <c r="AA20" s="174">
        <f>'Output - Jobs vs Yr (BAU)'!AA18</f>
        <v>5335.6489789747484</v>
      </c>
      <c r="AB20" s="174">
        <f>'Output - Jobs vs Yr (BAU)'!AB18</f>
        <v>5369.4700356452149</v>
      </c>
      <c r="AC20" s="174">
        <f>'Output - Jobs vs Yr (BAU)'!AC18</f>
        <v>5392.9133333263189</v>
      </c>
      <c r="AD20" s="174">
        <f>'Output - Jobs vs Yr (BAU)'!AD18</f>
        <v>5837.1112022863799</v>
      </c>
      <c r="AE20" s="174">
        <f>'Output - Jobs vs Yr (BAU)'!AE18</f>
        <v>6348.7015039559237</v>
      </c>
      <c r="AF20" s="174">
        <f>'Output - Jobs vs Yr (BAU)'!AF18</f>
        <v>6488.8864189231363</v>
      </c>
      <c r="AG20" s="174">
        <f>'Output - Jobs vs Yr (BAU)'!AG18</f>
        <v>6538.7867146032168</v>
      </c>
      <c r="AH20" s="184">
        <f>'Output - Jobs vs Yr (BAU)'!AH18</f>
        <v>6626.2422325804255</v>
      </c>
    </row>
    <row r="21" spans="1:37" s="20" customFormat="1">
      <c r="A21" s="20" t="s">
        <v>116</v>
      </c>
      <c r="B21" s="33"/>
      <c r="C21" s="330">
        <f t="shared" ref="C21:AH21" si="11">MAX(C19:C20)</f>
        <v>2226.0100000000002</v>
      </c>
      <c r="D21" s="330">
        <f t="shared" si="11"/>
        <v>3247.0115542083286</v>
      </c>
      <c r="E21" s="330">
        <f t="shared" si="11"/>
        <v>3530.7835029778134</v>
      </c>
      <c r="F21" s="330">
        <f t="shared" si="11"/>
        <v>4030.0416246131554</v>
      </c>
      <c r="G21" s="330">
        <f t="shared" si="11"/>
        <v>4742.1653918328266</v>
      </c>
      <c r="H21" s="286">
        <f t="shared" si="11"/>
        <v>4757.8661147538878</v>
      </c>
      <c r="I21" s="83">
        <f t="shared" si="11"/>
        <v>5755.958496447618</v>
      </c>
      <c r="J21" s="83">
        <f t="shared" si="11"/>
        <v>6468.8725470674917</v>
      </c>
      <c r="K21" s="83">
        <f t="shared" si="11"/>
        <v>7459.284430762953</v>
      </c>
      <c r="L21" s="83">
        <f t="shared" si="11"/>
        <v>8435.4631241996758</v>
      </c>
      <c r="M21" s="83">
        <f t="shared" si="11"/>
        <v>9469.5469236029676</v>
      </c>
      <c r="N21" s="177">
        <f t="shared" si="11"/>
        <v>10647.48377321555</v>
      </c>
      <c r="O21" s="83">
        <f t="shared" si="11"/>
        <v>10496.707593815714</v>
      </c>
      <c r="P21" s="83">
        <f t="shared" si="11"/>
        <v>10490.73413157351</v>
      </c>
      <c r="Q21" s="83">
        <f t="shared" si="11"/>
        <v>10600.840182475844</v>
      </c>
      <c r="R21" s="83">
        <f t="shared" si="11"/>
        <v>10704.824627647018</v>
      </c>
      <c r="S21" s="83">
        <f t="shared" si="11"/>
        <v>10817.446289842326</v>
      </c>
      <c r="T21" s="83">
        <f t="shared" si="11"/>
        <v>10899.230329220869</v>
      </c>
      <c r="U21" s="83">
        <f t="shared" si="11"/>
        <v>10995.656155792663</v>
      </c>
      <c r="V21" s="83">
        <f t="shared" si="11"/>
        <v>11091.487451922634</v>
      </c>
      <c r="W21" s="83">
        <f t="shared" si="11"/>
        <v>11196.402209079832</v>
      </c>
      <c r="X21" s="184">
        <f t="shared" si="11"/>
        <v>11282.88352768953</v>
      </c>
      <c r="Y21" s="174">
        <f t="shared" si="11"/>
        <v>11436.083028508807</v>
      </c>
      <c r="Z21" s="174">
        <f t="shared" si="11"/>
        <v>11554.773946141784</v>
      </c>
      <c r="AA21" s="174">
        <f t="shared" si="11"/>
        <v>11696.548648001237</v>
      </c>
      <c r="AB21" s="174">
        <f t="shared" si="11"/>
        <v>11845.583915530957</v>
      </c>
      <c r="AC21" s="174">
        <f t="shared" si="11"/>
        <v>11997.526572529354</v>
      </c>
      <c r="AD21" s="174">
        <f t="shared" si="11"/>
        <v>12251.163603117691</v>
      </c>
      <c r="AE21" s="174">
        <f t="shared" si="11"/>
        <v>12519.321181224597</v>
      </c>
      <c r="AF21" s="174">
        <f t="shared" si="11"/>
        <v>12705.308619498846</v>
      </c>
      <c r="AG21" s="174">
        <f t="shared" si="11"/>
        <v>12877.327615778095</v>
      </c>
      <c r="AH21" s="184">
        <f t="shared" si="11"/>
        <v>13030.887517211955</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2.1138703683462674E-2</v>
      </c>
      <c r="D26" s="332">
        <f t="shared" ref="D26:G26" si="21">C26+($N$26-$C$26)/($N$11-$C$11)</f>
        <v>2.0717663846124543E-2</v>
      </c>
      <c r="E26" s="332">
        <f t="shared" si="21"/>
        <v>2.0296624008786412E-2</v>
      </c>
      <c r="F26" s="332">
        <f t="shared" si="21"/>
        <v>1.9875584171448281E-2</v>
      </c>
      <c r="G26" s="332">
        <f t="shared" si="21"/>
        <v>1.945454433411015E-2</v>
      </c>
      <c r="H26" s="284">
        <f>H31/H14</f>
        <v>1.7558798782509575E-2</v>
      </c>
      <c r="I26" s="91">
        <f>H26+($N$26-$H$26)/($N$11-$H$11)</f>
        <v>1.7383543230881853E-2</v>
      </c>
      <c r="J26" s="172">
        <f t="shared" ref="J26:M26" si="22">I26+($N$26-$H$26)/($N$11-$H$11)</f>
        <v>1.7208287679254131E-2</v>
      </c>
      <c r="K26" s="172">
        <f t="shared" si="22"/>
        <v>1.7033032127626409E-2</v>
      </c>
      <c r="L26" s="172">
        <f t="shared" si="22"/>
        <v>1.6857776575998688E-2</v>
      </c>
      <c r="M26" s="172">
        <f t="shared" si="22"/>
        <v>1.6682521024370966E-2</v>
      </c>
      <c r="N26" s="180">
        <f>Inputs!C35</f>
        <v>1.6507265472743247E-2</v>
      </c>
      <c r="O26" s="91">
        <f t="shared" ref="O26:W26" si="23">N26+($X$26-$N$26)/($X$11-$N$11)</f>
        <v>1.6589345405544957E-2</v>
      </c>
      <c r="P26" s="91">
        <f t="shared" si="23"/>
        <v>1.6671425338346667E-2</v>
      </c>
      <c r="Q26" s="91">
        <f t="shared" si="23"/>
        <v>1.6753505271148376E-2</v>
      </c>
      <c r="R26" s="91">
        <f t="shared" si="23"/>
        <v>1.6835585203950086E-2</v>
      </c>
      <c r="S26" s="22">
        <f t="shared" si="23"/>
        <v>1.6917665136751796E-2</v>
      </c>
      <c r="T26" s="91">
        <f t="shared" si="23"/>
        <v>1.6999745069553505E-2</v>
      </c>
      <c r="U26" s="91">
        <f t="shared" si="23"/>
        <v>1.7081825002355215E-2</v>
      </c>
      <c r="V26" s="91">
        <f t="shared" si="23"/>
        <v>1.7163904935156925E-2</v>
      </c>
      <c r="W26" s="91">
        <f t="shared" si="23"/>
        <v>1.7245984867958634E-2</v>
      </c>
      <c r="X26" s="185">
        <f>Inputs!F35</f>
        <v>1.7328064800760327E-2</v>
      </c>
      <c r="Y26" s="172">
        <f>X26+($AH$26-$X$26)/($AH$11-$X$11)</f>
        <v>1.7313597503447083E-2</v>
      </c>
      <c r="Z26" s="172">
        <f t="shared" ref="Z26:AG26" si="24">Y26+($AH$26-$X$26)/($AH$11-$X$11)</f>
        <v>1.7299130206133839E-2</v>
      </c>
      <c r="AA26" s="172">
        <f t="shared" si="24"/>
        <v>1.7284662908820594E-2</v>
      </c>
      <c r="AB26" s="172">
        <f t="shared" si="24"/>
        <v>1.727019561150735E-2</v>
      </c>
      <c r="AC26" s="172">
        <f t="shared" si="24"/>
        <v>1.7255728314194106E-2</v>
      </c>
      <c r="AD26" s="172">
        <f t="shared" si="24"/>
        <v>1.7241261016880862E-2</v>
      </c>
      <c r="AE26" s="172">
        <f t="shared" si="24"/>
        <v>1.7226793719567618E-2</v>
      </c>
      <c r="AF26" s="172">
        <f t="shared" si="24"/>
        <v>1.7212326422254374E-2</v>
      </c>
      <c r="AG26" s="172">
        <f t="shared" si="24"/>
        <v>1.719785912494113E-2</v>
      </c>
      <c r="AH26" s="185">
        <f>Inputs!H35</f>
        <v>1.7183391827627882E-2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1.6917665136751796E-2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966.99</v>
      </c>
      <c r="D31" s="330">
        <f t="shared" ref="D31:AH31" si="27">D26*D14</f>
        <v>991.15375606244424</v>
      </c>
      <c r="E31" s="330">
        <f t="shared" si="27"/>
        <v>972.01374572707402</v>
      </c>
      <c r="F31" s="330">
        <f t="shared" si="27"/>
        <v>977.68880766948405</v>
      </c>
      <c r="G31" s="330">
        <f t="shared" si="27"/>
        <v>903.84935792950955</v>
      </c>
      <c r="H31" s="286">
        <f>'Output - Jobs vs Yr (BAU)'!H7</f>
        <v>842.9313513292243</v>
      </c>
      <c r="I31" s="174">
        <f t="shared" si="27"/>
        <v>897.93956178394978</v>
      </c>
      <c r="J31" s="174">
        <f t="shared" si="27"/>
        <v>888.53077399111919</v>
      </c>
      <c r="K31" s="174">
        <f t="shared" si="27"/>
        <v>902.0475907237161</v>
      </c>
      <c r="L31" s="174">
        <f t="shared" si="27"/>
        <v>898.0294525348462</v>
      </c>
      <c r="M31" s="174">
        <f t="shared" si="27"/>
        <v>887.40128504091024</v>
      </c>
      <c r="N31" s="184">
        <f t="shared" si="27"/>
        <v>878.80420630597507</v>
      </c>
      <c r="O31" s="174">
        <f t="shared" si="27"/>
        <v>861.75133268728359</v>
      </c>
      <c r="P31" s="174">
        <f t="shared" si="27"/>
        <v>857.22995533935591</v>
      </c>
      <c r="Q31" s="174">
        <f t="shared" si="27"/>
        <v>862.16085380717868</v>
      </c>
      <c r="R31" s="174">
        <f t="shared" si="27"/>
        <v>866.51124877823906</v>
      </c>
      <c r="S31" s="174">
        <f t="shared" si="27"/>
        <v>871.47873658600599</v>
      </c>
      <c r="T31" s="174">
        <f t="shared" si="27"/>
        <v>873.88507220118231</v>
      </c>
      <c r="U31" s="174">
        <f t="shared" si="27"/>
        <v>877.39920096472235</v>
      </c>
      <c r="V31" s="174">
        <f t="shared" si="27"/>
        <v>880.79332863646687</v>
      </c>
      <c r="W31" s="174">
        <f t="shared" si="27"/>
        <v>884.83443513588077</v>
      </c>
      <c r="X31" s="184">
        <f t="shared" si="27"/>
        <v>888.68425866925202</v>
      </c>
      <c r="Y31" s="174">
        <f t="shared" si="27"/>
        <v>887.16841108975359</v>
      </c>
      <c r="Z31" s="174">
        <f t="shared" si="27"/>
        <v>884.18830774894809</v>
      </c>
      <c r="AA31" s="174">
        <f t="shared" si="27"/>
        <v>882.87127842628865</v>
      </c>
      <c r="AB31" s="174">
        <f t="shared" si="27"/>
        <v>881.9690097984153</v>
      </c>
      <c r="AC31" s="174">
        <f t="shared" si="27"/>
        <v>881.14295764565895</v>
      </c>
      <c r="AD31" s="174">
        <f t="shared" si="27"/>
        <v>887.55851938338208</v>
      </c>
      <c r="AE31" s="174">
        <f t="shared" si="27"/>
        <v>894.67824783038054</v>
      </c>
      <c r="AF31" s="174">
        <f t="shared" si="27"/>
        <v>895.63830822836985</v>
      </c>
      <c r="AG31" s="174">
        <f t="shared" si="27"/>
        <v>895.43466967896802</v>
      </c>
      <c r="AH31" s="184">
        <f t="shared" si="27"/>
        <v>895.65938427999242</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0</v>
      </c>
      <c r="D34" s="330">
        <f>MAX(D58*D$14,'Output - Jobs vs Yr (BAU)'!D10)</f>
        <v>0</v>
      </c>
      <c r="E34" s="330">
        <f>MAX(E58*E$14,'Output - Jobs vs Yr (BAU)'!E10)</f>
        <v>2.6048960000000002E-3</v>
      </c>
      <c r="F34" s="330">
        <f>MAX(F58*F$14,'Output - Jobs vs Yr (BAU)'!F10)</f>
        <v>2.52163E-3</v>
      </c>
      <c r="G34" s="330">
        <f>MAX(G58*G$14,'Output - Jobs vs Yr (BAU)'!G10)</f>
        <v>2.4783379999999996E-3</v>
      </c>
      <c r="H34" s="286">
        <f>'Output - Jobs vs Yr (BAU)'!H10</f>
        <v>2.6484580000000002E-3</v>
      </c>
      <c r="I34" s="286">
        <f>MAX(I58*I$14,'Output - Jobs vs Yr (BAU)'!I10)</f>
        <v>3.4157682408644256E-3</v>
      </c>
      <c r="J34" s="286">
        <f>MAX(J58*J$14,'Output - Jobs vs Yr (BAU)'!J10)</f>
        <v>4.0925907173501794E-3</v>
      </c>
      <c r="K34" s="286">
        <f>MAX(K58*K$14,'Output - Jobs vs Yr (BAU)'!K10)</f>
        <v>5.0313541819207788E-3</v>
      </c>
      <c r="L34" s="286">
        <f>MAX(L58*L$14,'Output - Jobs vs Yr (BAU)'!L10)</f>
        <v>6.0662680793820848E-3</v>
      </c>
      <c r="M34" s="286">
        <f>MAX(M58*M$14,'Output - Jobs vs Yr (BAU)'!M10)</f>
        <v>7.2606180502436364E-3</v>
      </c>
      <c r="N34" s="287">
        <f>MAX(Inputs!$E17*N$21,'Output - Jobs vs Yr (BAU)'!N10)</f>
        <v>8.7099591158926858E-3</v>
      </c>
      <c r="O34" s="286">
        <f>MAX(O58*O$14,'Output - Jobs vs Yr (BAU)'!O10)</f>
        <v>8.5800754682059874E-3</v>
      </c>
      <c r="P34" s="286">
        <f>MAX(P58*P$14,'Output - Jobs vs Yr (BAU)'!P10)</f>
        <v>8.5743709682208746E-3</v>
      </c>
      <c r="Q34" s="286">
        <f>MAX(Q58*Q$14,'Output - Jobs vs Yr (BAU)'!Q10)</f>
        <v>8.6636229701864825E-3</v>
      </c>
      <c r="R34" s="286">
        <f>MAX(R58*R$14,'Output - Jobs vs Yr (BAU)'!R10)</f>
        <v>8.7478673161858877E-3</v>
      </c>
      <c r="S34" s="286">
        <f>MAX(S58*S$14,'Output - Jobs vs Yr (BAU)'!S10)</f>
        <v>8.8391771631766668E-3</v>
      </c>
      <c r="T34" s="286">
        <f>MAX(T58*T$14,'Output - Jobs vs Yr (BAU)'!T10)</f>
        <v>8.9052609154688066E-3</v>
      </c>
      <c r="U34" s="286">
        <f>MAX(U58*U$14,'Output - Jobs vs Yr (BAU)'!U10)</f>
        <v>8.9833220861400814E-3</v>
      </c>
      <c r="V34" s="286">
        <f>MAX(V58*V$14,'Output - Jobs vs Yr (BAU)'!V10)</f>
        <v>9.0608969131876667E-3</v>
      </c>
      <c r="W34" s="286">
        <f>MAX(W58*W$14,'Output - Jobs vs Yr (BAU)'!W10)</f>
        <v>9.1459022821231816E-3</v>
      </c>
      <c r="X34" s="287">
        <f>Inputs!F17*'Output -Jobs vs Yr'!$X$14</f>
        <v>9.2297350555976612E-3</v>
      </c>
      <c r="Y34" s="286">
        <f>MAX(Y58*Y$14,'Output - Jobs vs Yr (BAU)'!Y10)</f>
        <v>9.3403316224110137E-3</v>
      </c>
      <c r="Z34" s="286">
        <f>MAX(Z58*Z$14,'Output - Jobs vs Yr (BAU)'!Z10)</f>
        <v>9.4366049884219601E-3</v>
      </c>
      <c r="AA34" s="286">
        <f>MAX(AA58*AA$14,'Output - Jobs vs Yr (BAU)'!AA10)</f>
        <v>9.5517617902286887E-3</v>
      </c>
      <c r="AB34" s="286">
        <f>MAX(AB58*AB$14,'Output - Jobs vs Yr (BAU)'!AB10)</f>
        <v>9.6728579552833385E-3</v>
      </c>
      <c r="AC34" s="286">
        <f>MAX(AC58*AC$14,'Output - Jobs vs Yr (BAU)'!AC10)</f>
        <v>9.7963333425555923E-3</v>
      </c>
      <c r="AD34" s="286">
        <f>MAX(AD58*AD$14,'Output - Jobs vs Yr (BAU)'!AD10)</f>
        <v>1.0002997894393453E-2</v>
      </c>
      <c r="AE34" s="286">
        <f>MAX(AE58*AE$14,'Output - Jobs vs Yr (BAU)'!AE10)</f>
        <v>1.0221540767136123E-2</v>
      </c>
      <c r="AF34" s="286">
        <f>MAX(AF58*AF$14,'Output - Jobs vs Yr (BAU)'!AF10)</f>
        <v>1.0372865818447412E-2</v>
      </c>
      <c r="AG34" s="286">
        <f>MAX(AG58*AG$14,'Output - Jobs vs Yr (BAU)'!AG10)</f>
        <v>1.0512764211596847E-2</v>
      </c>
      <c r="AH34" s="287">
        <f>Inputs!I17*'Output -Jobs vs Yr'!$AH$14</f>
        <v>1.0659654425041288E-2</v>
      </c>
      <c r="AI34" s="127"/>
    </row>
    <row r="35" spans="1:36" s="20" customFormat="1">
      <c r="A35" s="9" t="s">
        <v>50</v>
      </c>
      <c r="B35" s="35">
        <v>1</v>
      </c>
      <c r="C35" s="330">
        <f>EIA_RE_aeo2014!E74*1000</f>
        <v>0</v>
      </c>
      <c r="D35" s="330">
        <f>MAX(D59*D$14,'Output - Jobs vs Yr (BAU)'!D11)</f>
        <v>0</v>
      </c>
      <c r="E35" s="330">
        <f>MAX(E59*E$14,'Output - Jobs vs Yr (BAU)'!E11)</f>
        <v>1.954E-3</v>
      </c>
      <c r="F35" s="330">
        <f>MAX(F59*F$14,'Output - Jobs vs Yr (BAU)'!F11)</f>
        <v>2.032E-3</v>
      </c>
      <c r="G35" s="330">
        <f>MAX(G59*G$14,'Output - Jobs vs Yr (BAU)'!G11)</f>
        <v>2.4136749999999997E-3</v>
      </c>
      <c r="H35" s="286">
        <f>'Output - Jobs vs Yr (BAU)'!H11</f>
        <v>2.6329220000000002E-3</v>
      </c>
      <c r="I35" s="286">
        <f>MAX(I59*I$14,'Output - Jobs vs Yr (BAU)'!I11)</f>
        <v>3.545249750649362E-3</v>
      </c>
      <c r="J35" s="286">
        <f>MAX(J59*J$14,'Output - Jobs vs Yr (BAU)'!J11)</f>
        <v>4.4347617135032267E-3</v>
      </c>
      <c r="K35" s="286">
        <f>MAX(K59*K$14,'Output - Jobs vs Yr (BAU)'!K11)</f>
        <v>5.6920722091391993E-3</v>
      </c>
      <c r="L35" s="286">
        <f>MAX(L59*L$14,'Output - Jobs vs Yr (BAU)'!L11)</f>
        <v>7.1650734159333755E-3</v>
      </c>
      <c r="M35" s="286">
        <f>MAX(M59*M$14,'Output - Jobs vs Yr (BAU)'!M11)</f>
        <v>8.9533625898771448E-3</v>
      </c>
      <c r="N35" s="287">
        <f>MAX(Inputs!$E19*N$21,'Output - Jobs vs Yr (BAU)'!N11)</f>
        <v>1.1213527021044153E-2</v>
      </c>
      <c r="O35" s="286">
        <f>MAX(O59*O$14,'Output - Jobs vs Yr (BAU)'!O11)</f>
        <v>1.1046309956813721E-2</v>
      </c>
      <c r="P35" s="286">
        <f>MAX(P59*P$14,'Output - Jobs vs Yr (BAU)'!P11)</f>
        <v>1.1038965770248264E-2</v>
      </c>
      <c r="Q35" s="286">
        <f>MAX(Q59*Q$14,'Output - Jobs vs Yr (BAU)'!Q11)</f>
        <v>1.1153872134607367E-2</v>
      </c>
      <c r="R35" s="286">
        <f>MAX(R59*R$14,'Output - Jobs vs Yr (BAU)'!R11)</f>
        <v>1.1262331455445142E-2</v>
      </c>
      <c r="S35" s="286">
        <f>MAX(S59*S$14,'Output - Jobs vs Yr (BAU)'!S11)</f>
        <v>1.137988716643008E-2</v>
      </c>
      <c r="T35" s="286">
        <f>MAX(T59*T$14,'Output - Jobs vs Yr (BAU)'!T11)</f>
        <v>1.1464965859925643E-2</v>
      </c>
      <c r="U35" s="286">
        <f>MAX(U59*U$14,'Output - Jobs vs Yr (BAU)'!U11)</f>
        <v>1.1565464729664248E-2</v>
      </c>
      <c r="V35" s="286">
        <f>MAX(V59*V$14,'Output - Jobs vs Yr (BAU)'!V11)</f>
        <v>1.1665337462437893E-2</v>
      </c>
      <c r="W35" s="286">
        <f>MAX(W59*W$14,'Output - Jobs vs Yr (BAU)'!W11)</f>
        <v>1.1774776552657379E-2</v>
      </c>
      <c r="X35" s="287">
        <f>Inputs!F19*'Output -Jobs vs Yr'!$X$14</f>
        <v>1.1882705999638364E-2</v>
      </c>
      <c r="Y35" s="286">
        <f>MAX(Y59*Y$14,'Output - Jobs vs Yr (BAU)'!Y11)</f>
        <v>1.2825796999999998E-2</v>
      </c>
      <c r="Z35" s="286">
        <f>MAX(Z59*Z$14,'Output - Jobs vs Yr (BAU)'!Z11)</f>
        <v>1.4554629999999999E-2</v>
      </c>
      <c r="AA35" s="286">
        <f>MAX(AA59*AA$14,'Output - Jobs vs Yr (BAU)'!AA11)</f>
        <v>1.6048374000000001E-2</v>
      </c>
      <c r="AB35" s="286">
        <f>MAX(AB59*AB$14,'Output - Jobs vs Yr (BAU)'!AB11)</f>
        <v>1.7544751999999997E-2</v>
      </c>
      <c r="AC35" s="286">
        <f>MAX(AC59*AC$14,'Output - Jobs vs Yr (BAU)'!AC11)</f>
        <v>1.7955031999999999E-2</v>
      </c>
      <c r="AD35" s="286">
        <f>MAX(AD59*AD$14,'Output - Jobs vs Yr (BAU)'!AD11)</f>
        <v>1.8306678999999999E-2</v>
      </c>
      <c r="AE35" s="286">
        <f>MAX(AE59*AE$14,'Output - Jobs vs Yr (BAU)'!AE11)</f>
        <v>1.8575586000000002E-2</v>
      </c>
      <c r="AF35" s="286">
        <f>MAX(AF59*AF$14,'Output - Jobs vs Yr (BAU)'!AF11)</f>
        <v>1.8999570999999996E-2</v>
      </c>
      <c r="AG35" s="286">
        <f>MAX(AG59*AG$14,'Output - Jobs vs Yr (BAU)'!AG11)</f>
        <v>1.9477578999999998E-2</v>
      </c>
      <c r="AH35" s="287">
        <f>Inputs!I19*'Output -Jobs vs Yr'!$AH$14</f>
        <v>1.3723637658882685E-2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0</v>
      </c>
      <c r="D37" s="330">
        <f>MAX(D61*D$14,'Output - Jobs vs Yr (BAU)'!D12)</f>
        <v>0</v>
      </c>
      <c r="E37" s="330">
        <f>MAX(E61*E$14,'Output - Jobs vs Yr (BAU)'!E12)</f>
        <v>6.9026540000000005E-4</v>
      </c>
      <c r="F37" s="330">
        <f>MAX(F61*F$14,'Output - Jobs vs Yr (BAU)'!F12)</f>
        <v>8.1010930000000004E-4</v>
      </c>
      <c r="G37" s="330">
        <f>MAX(G61*G$14,'Output - Jobs vs Yr (BAU)'!G12)</f>
        <v>9.665953000000001E-4</v>
      </c>
      <c r="H37" s="286">
        <f>'Output - Jobs vs Yr (BAU)'!H12</f>
        <v>8.6393449999999997E-4</v>
      </c>
      <c r="I37" s="118">
        <f>MAX(I61*I$14,'Output - Jobs vs Yr (BAU)'!I12)</f>
        <v>1.0649583482025889E-3</v>
      </c>
      <c r="J37" s="118">
        <f>MAX(J61*J$14,'Output - Jobs vs Yr (BAU)'!J12)</f>
        <v>1.2195483976990688E-3</v>
      </c>
      <c r="K37" s="118">
        <f>MAX(K61*K$14,'Output - Jobs vs Yr (BAU)'!K12)</f>
        <v>1.4329865515028751E-3</v>
      </c>
      <c r="L37" s="118">
        <f>MAX(L61*L$14,'Output - Jobs vs Yr (BAU)'!L12)</f>
        <v>1.6513355164494267E-3</v>
      </c>
      <c r="M37" s="118">
        <f>MAX(M61*M$14,'Output - Jobs vs Yr (BAU)'!M12)</f>
        <v>1.8890515653422408E-3</v>
      </c>
      <c r="N37" s="184">
        <f>MAX(Inputs!$E20*N$21,'Output - Jobs vs Yr (BAU)'!N12)</f>
        <v>2.1659221238452997E-3</v>
      </c>
      <c r="O37" s="174">
        <f>MAX(O61*O$14,'Output - Jobs vs Yr (BAU)'!O12)</f>
        <v>2.133623709776163E-3</v>
      </c>
      <c r="P37" s="174">
        <f>MAX(P61*P$14,'Output - Jobs vs Yr (BAU)'!P12)</f>
        <v>2.1322051608990865E-3</v>
      </c>
      <c r="Q37" s="174">
        <f>MAX(Q61*Q$14,'Output - Jobs vs Yr (BAU)'!Q12)</f>
        <v>2.154399626232692E-3</v>
      </c>
      <c r="R37" s="174">
        <f>MAX(R61*R$14,'Output - Jobs vs Yr (BAU)'!R12)</f>
        <v>2.175348828218732E-3</v>
      </c>
      <c r="S37" s="174">
        <f>MAX(S61*S$14,'Output - Jobs vs Yr (BAU)'!S12)</f>
        <v>2.1980550217944738E-3</v>
      </c>
      <c r="T37" s="174">
        <f>MAX(T61*T$14,'Output - Jobs vs Yr (BAU)'!T12)</f>
        <v>2.2144881943515181E-3</v>
      </c>
      <c r="U37" s="174">
        <f>MAX(U61*U$14,'Output - Jobs vs Yr (BAU)'!U12)</f>
        <v>2.2338998143511661E-3</v>
      </c>
      <c r="V37" s="174">
        <f>MAX(V61*V$14,'Output - Jobs vs Yr (BAU)'!V12)</f>
        <v>2.2531904943555365E-3</v>
      </c>
      <c r="W37" s="174">
        <f>MAX(W61*W$14,'Output - Jobs vs Yr (BAU)'!W12)</f>
        <v>2.2743289413646754E-3</v>
      </c>
      <c r="X37" s="184">
        <f>Inputs!F20*'Output -Jobs vs Yr'!$X$14</f>
        <v>2.2951757968269907E-3</v>
      </c>
      <c r="Y37" s="174">
        <f>MAX(Y61*Y$14,'Output - Jobs vs Yr (BAU)'!Y12)</f>
        <v>2.3226780557578383E-3</v>
      </c>
      <c r="Z37" s="174">
        <f>MAX(Z61*Z$14,'Output - Jobs vs Yr (BAU)'!Z12)</f>
        <v>2.3466185370627024E-3</v>
      </c>
      <c r="AA37" s="174">
        <f>MAX(AA61*AA$14,'Output - Jobs vs Yr (BAU)'!AA12)</f>
        <v>2.3752547983155658E-3</v>
      </c>
      <c r="AB37" s="174">
        <f>MAX(AB61*AB$14,'Output - Jobs vs Yr (BAU)'!AB12)</f>
        <v>2.4053680123404296E-3</v>
      </c>
      <c r="AC37" s="174">
        <f>MAX(AC61*AC$14,'Output - Jobs vs Yr (BAU)'!AC12)</f>
        <v>2.4360728720860233E-3</v>
      </c>
      <c r="AD37" s="174">
        <f>MAX(AD61*AD$14,'Output - Jobs vs Yr (BAU)'!AD12)</f>
        <v>2.4874645398406336E-3</v>
      </c>
      <c r="AE37" s="174">
        <f>MAX(AE61*AE$14,'Output - Jobs vs Yr (BAU)'!AE12)</f>
        <v>2.5418100122801498E-3</v>
      </c>
      <c r="AF37" s="174">
        <f>MAX(AF61*AF$14,'Output - Jobs vs Yr (BAU)'!AF12)</f>
        <v>2.5794403010296228E-3</v>
      </c>
      <c r="AG37" s="174">
        <f>MAX(AG61*AG$14,'Output - Jobs vs Yr (BAU)'!AG12)</f>
        <v>2.6142291009287957E-3</v>
      </c>
      <c r="AH37" s="184">
        <f>Inputs!I20*'Output -Jobs vs Yr'!$AH$14</f>
        <v>2.6507565700985593E-3</v>
      </c>
      <c r="AI37" s="127"/>
    </row>
    <row r="38" spans="1:36" s="20" customFormat="1">
      <c r="A38" s="9" t="s">
        <v>347</v>
      </c>
      <c r="B38" s="35">
        <v>1</v>
      </c>
      <c r="C38" s="330">
        <f>'Output - Jobs vs Yr (BAU)'!C13</f>
        <v>0</v>
      </c>
      <c r="D38" s="330">
        <f>MAX(D62*D$14,'Output - Jobs vs Yr (BAU)'!D13)</f>
        <v>0</v>
      </c>
      <c r="E38" s="330">
        <f>MAX(E62*E$14,'Output - Jobs vs Yr (BAU)'!E13)</f>
        <v>0.02</v>
      </c>
      <c r="F38" s="330">
        <f>MAX(F62*F$14,'Output - Jobs vs Yr (BAU)'!F13)</f>
        <v>0.02</v>
      </c>
      <c r="G38" s="330">
        <f>MAX(G62*G$14,'Output - Jobs vs Yr (BAU)'!G13)</f>
        <v>0.02</v>
      </c>
      <c r="H38" s="286">
        <f>'Output - Jobs vs Yr (BAU)'!H13</f>
        <v>0.02</v>
      </c>
      <c r="I38" s="118">
        <f>MAX(I62*I$14,'Output - Jobs vs Yr (BAU)'!I13)</f>
        <v>2.3775243407471572E-2</v>
      </c>
      <c r="J38" s="118">
        <f>MAX(J62*J$14,'Output - Jobs vs Yr (BAU)'!J13)</f>
        <v>2.6256362557906705E-2</v>
      </c>
      <c r="K38" s="118">
        <f>MAX(K62*K$14,'Output - Jobs vs Yr (BAU)'!K13)</f>
        <v>2.9752317948619204E-2</v>
      </c>
      <c r="L38" s="118">
        <f>MAX(L62*L$14,'Output - Jobs vs Yr (BAU)'!L13)</f>
        <v>3.3064136464967517E-2</v>
      </c>
      <c r="M38" s="118">
        <f>MAX(M62*M$14,'Output - Jobs vs Yr (BAU)'!M13)</f>
        <v>3.6476137757552492E-2</v>
      </c>
      <c r="N38" s="184">
        <f>MAX(Inputs!$E21*N$21,'Output - Jobs vs Yr (BAU)'!N13)</f>
        <v>4.0332119270150464E-2</v>
      </c>
      <c r="O38" s="174">
        <f>MAX(O62*O$14,'Output - Jobs vs Yr (BAU)'!O13)</f>
        <v>3.973068329323709E-2</v>
      </c>
      <c r="P38" s="174">
        <f>MAX(P62*P$14,'Output - Jobs vs Yr (BAU)'!P13)</f>
        <v>3.9704268177997756E-2</v>
      </c>
      <c r="Q38" s="174">
        <f>MAX(Q62*Q$14,'Output - Jobs vs Yr (BAU)'!Q13)</f>
        <v>4.0117556270453721E-2</v>
      </c>
      <c r="R38" s="174">
        <f>MAX(R62*R$14,'Output - Jobs vs Yr (BAU)'!R13)</f>
        <v>4.0507656036190165E-2</v>
      </c>
      <c r="S38" s="174">
        <f>MAX(S62*S$14,'Output - Jobs vs Yr (BAU)'!S13)</f>
        <v>4.0930473134453187E-2</v>
      </c>
      <c r="T38" s="174">
        <f>MAX(T62*T$14,'Output - Jobs vs Yr (BAU)'!T13)</f>
        <v>4.1236478908280812E-2</v>
      </c>
      <c r="U38" s="174">
        <f>MAX(U62*U$14,'Output - Jobs vs Yr (BAU)'!U13)</f>
        <v>4.1597947016682922E-2</v>
      </c>
      <c r="V38" s="174">
        <f>MAX(V62*V$14,'Output - Jobs vs Yr (BAU)'!V13)</f>
        <v>4.1957163074440938E-2</v>
      </c>
      <c r="W38" s="174">
        <f>MAX(W62*W$14,'Output - Jobs vs Yr (BAU)'!W13)</f>
        <v>4.2350786813989225E-2</v>
      </c>
      <c r="X38" s="184">
        <f>Inputs!F21*'Output -Jobs vs Yr'!$X$14</f>
        <v>4.2738980762265184E-2</v>
      </c>
      <c r="Y38" s="174">
        <f>MAX(Y62*Y$14,'Output - Jobs vs Yr (BAU)'!Y13)</f>
        <v>4.3251106463917013E-2</v>
      </c>
      <c r="Z38" s="174">
        <f>MAX(Z62*Z$14,'Output - Jobs vs Yr (BAU)'!Z13)</f>
        <v>4.3696907509458933E-2</v>
      </c>
      <c r="AA38" s="174">
        <f>MAX(AA62*AA$14,'Output - Jobs vs Yr (BAU)'!AA13)</f>
        <v>4.4230149721441701E-2</v>
      </c>
      <c r="AB38" s="174">
        <f>MAX(AB62*AB$14,'Output - Jobs vs Yr (BAU)'!AB13)</f>
        <v>4.4790894600626061E-2</v>
      </c>
      <c r="AC38" s="174">
        <f>MAX(AC62*AC$14,'Output - Jobs vs Yr (BAU)'!AC13)</f>
        <v>4.536265664682277E-2</v>
      </c>
      <c r="AD38" s="174">
        <f>MAX(AD62*AD$14,'Output - Jobs vs Yr (BAU)'!AD13)</f>
        <v>4.6319632361947298E-2</v>
      </c>
      <c r="AE38" s="174">
        <f>MAX(AE62*AE$14,'Output - Jobs vs Yr (BAU)'!AE13)</f>
        <v>4.7331611533355307E-2</v>
      </c>
      <c r="AF38" s="174">
        <f>MAX(AF62*AF$14,'Output - Jobs vs Yr (BAU)'!AF13)</f>
        <v>4.8032333538687369E-2</v>
      </c>
      <c r="AG38" s="174">
        <f>MAX(AG62*AG$14,'Output - Jobs vs Yr (BAU)'!AG13)</f>
        <v>4.8680143545959384E-2</v>
      </c>
      <c r="AH38" s="184">
        <f>Inputs!I21*'Output -Jobs vs Yr'!$AH$14</f>
        <v>4.936032970176453E-2</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1.1887621703735786E-2</v>
      </c>
      <c r="J39" s="118">
        <f>MAX(J63*J$14,'Output - Jobs vs Yr (BAU)'!J14)</f>
        <v>1.3128181278953353E-2</v>
      </c>
      <c r="K39" s="118">
        <f>MAX(K63*K$14,'Output - Jobs vs Yr (BAU)'!K14)</f>
        <v>1.4876158974309602E-2</v>
      </c>
      <c r="L39" s="118">
        <f>MAX(L63*L$14,'Output - Jobs vs Yr (BAU)'!L14)</f>
        <v>1.6532068232483758E-2</v>
      </c>
      <c r="M39" s="118">
        <f>MAX(M63*M$14,'Output - Jobs vs Yr (BAU)'!M14)</f>
        <v>1.8238068878776246E-2</v>
      </c>
      <c r="N39" s="184">
        <f>MAX(Inputs!$E22*N$21,'Output - Jobs vs Yr (BAU)'!N14)</f>
        <v>2.0166059635075232E-2</v>
      </c>
      <c r="O39" s="174">
        <f>MAX(O63*O$14,'Output - Jobs vs Yr (BAU)'!O14)</f>
        <v>1.9865341646618545E-2</v>
      </c>
      <c r="P39" s="174">
        <f>MAX(P63*P$14,'Output - Jobs vs Yr (BAU)'!P14)</f>
        <v>1.9852134088998878E-2</v>
      </c>
      <c r="Q39" s="174">
        <f>MAX(Q63*Q$14,'Output - Jobs vs Yr (BAU)'!Q14)</f>
        <v>2.005877813522686E-2</v>
      </c>
      <c r="R39" s="174">
        <f>MAX(R63*R$14,'Output - Jobs vs Yr (BAU)'!R14)</f>
        <v>2.0253828018095082E-2</v>
      </c>
      <c r="S39" s="174">
        <f>MAX(S63*S$14,'Output - Jobs vs Yr (BAU)'!S14)</f>
        <v>2.0465236567226593E-2</v>
      </c>
      <c r="T39" s="174">
        <f>MAX(T63*T$14,'Output - Jobs vs Yr (BAU)'!T14)</f>
        <v>2.0618239454140406E-2</v>
      </c>
      <c r="U39" s="174">
        <f>MAX(U63*U$14,'Output - Jobs vs Yr (BAU)'!U14)</f>
        <v>2.0798973508341461E-2</v>
      </c>
      <c r="V39" s="174">
        <f>MAX(V63*V$14,'Output - Jobs vs Yr (BAU)'!V14)</f>
        <v>2.0978581537220469E-2</v>
      </c>
      <c r="W39" s="174">
        <f>MAX(W63*W$14,'Output - Jobs vs Yr (BAU)'!W14)</f>
        <v>2.1175393406994612E-2</v>
      </c>
      <c r="X39" s="184">
        <f>Inputs!F22*'Output -Jobs vs Yr'!$X$14</f>
        <v>2.1369490381132592E-2</v>
      </c>
      <c r="Y39" s="174">
        <f>MAX(Y63*Y$14,'Output - Jobs vs Yr (BAU)'!Y14)</f>
        <v>2.1625553231958507E-2</v>
      </c>
      <c r="Z39" s="174">
        <f>MAX(Z63*Z$14,'Output - Jobs vs Yr (BAU)'!Z14)</f>
        <v>2.1848453754729467E-2</v>
      </c>
      <c r="AA39" s="174">
        <f>MAX(AA63*AA$14,'Output - Jobs vs Yr (BAU)'!AA14)</f>
        <v>2.2115074860720851E-2</v>
      </c>
      <c r="AB39" s="174">
        <f>MAX(AB63*AB$14,'Output - Jobs vs Yr (BAU)'!AB14)</f>
        <v>2.239544730031303E-2</v>
      </c>
      <c r="AC39" s="174">
        <f>MAX(AC63*AC$14,'Output - Jobs vs Yr (BAU)'!AC14)</f>
        <v>2.2681328323411385E-2</v>
      </c>
      <c r="AD39" s="174">
        <f>MAX(AD63*AD$14,'Output - Jobs vs Yr (BAU)'!AD14)</f>
        <v>2.3159816180973649E-2</v>
      </c>
      <c r="AE39" s="174">
        <f>MAX(AE63*AE$14,'Output - Jobs vs Yr (BAU)'!AE14)</f>
        <v>2.3665805766677653E-2</v>
      </c>
      <c r="AF39" s="174">
        <f>MAX(AF63*AF$14,'Output - Jobs vs Yr (BAU)'!AF14)</f>
        <v>2.4016166769343684E-2</v>
      </c>
      <c r="AG39" s="174">
        <f>MAX(AG63*AG$14,'Output - Jobs vs Yr (BAU)'!AG14)</f>
        <v>2.4340071772979692E-2</v>
      </c>
      <c r="AH39" s="184">
        <f>Inputs!I22*'Output -Jobs vs Yr'!$AH$14</f>
        <v>2.4680164850882265E-2</v>
      </c>
      <c r="AI39" s="127"/>
    </row>
    <row r="40" spans="1:36" s="20" customFormat="1">
      <c r="A40" s="9" t="s">
        <v>344</v>
      </c>
      <c r="B40" s="35">
        <v>1</v>
      </c>
      <c r="C40" s="330">
        <f>'Output - Jobs vs Yr (BAU)'!C15</f>
        <v>0.01</v>
      </c>
      <c r="D40" s="330">
        <f>MAX(D64*D$14,'Output - Jobs vs Yr (BAU)'!D15)</f>
        <v>1.1554208328327908E-2</v>
      </c>
      <c r="E40" s="330">
        <f>MAX(E64*E$14,'Output - Jobs vs Yr (BAU)'!E15)</f>
        <v>1.277827180355263E-2</v>
      </c>
      <c r="F40" s="330">
        <f>MAX(F64*F$14,'Output - Jobs vs Yr (BAU)'!F15)</f>
        <v>1.4500662347693528E-2</v>
      </c>
      <c r="G40" s="330">
        <f>MAX(G64*G$14,'Output - Jobs vs Yr (BAU)'!G15)</f>
        <v>1.5130931528912948E-2</v>
      </c>
      <c r="H40" s="286">
        <f>'Output - Jobs vs Yr (BAU)'!H15</f>
        <v>0.01</v>
      </c>
      <c r="I40" s="118">
        <f>MAX(I64*I$14,'Output - Jobs vs Yr (BAU)'!I15)</f>
        <v>1.1887621703735786E-2</v>
      </c>
      <c r="J40" s="118">
        <f>MAX(J64*J$14,'Output - Jobs vs Yr (BAU)'!J15)</f>
        <v>1.3128181278953353E-2</v>
      </c>
      <c r="K40" s="118">
        <f>MAX(K64*K$14,'Output - Jobs vs Yr (BAU)'!K15)</f>
        <v>1.4876158974309602E-2</v>
      </c>
      <c r="L40" s="118">
        <f>MAX(L64*L$14,'Output - Jobs vs Yr (BAU)'!L15)</f>
        <v>1.6532068232483758E-2</v>
      </c>
      <c r="M40" s="118">
        <f>MAX(M64*M$14,'Output - Jobs vs Yr (BAU)'!M15)</f>
        <v>1.8238068878776246E-2</v>
      </c>
      <c r="N40" s="184">
        <f>MAX(Inputs!$E18*N$21,'Output - Jobs vs Yr (BAU)'!N15)</f>
        <v>2.0166059635075232E-2</v>
      </c>
      <c r="O40" s="174">
        <f>MAX(O64*O$14,'Output - Jobs vs Yr (BAU)'!O15)</f>
        <v>1.9865341646618545E-2</v>
      </c>
      <c r="P40" s="174">
        <f>MAX(P64*P$14,'Output - Jobs vs Yr (BAU)'!P15)</f>
        <v>1.9852134088998878E-2</v>
      </c>
      <c r="Q40" s="174">
        <f>MAX(Q64*Q$14,'Output - Jobs vs Yr (BAU)'!Q15)</f>
        <v>2.005877813522686E-2</v>
      </c>
      <c r="R40" s="174">
        <f>MAX(R64*R$14,'Output - Jobs vs Yr (BAU)'!R15)</f>
        <v>2.0253828018095082E-2</v>
      </c>
      <c r="S40" s="174">
        <f>MAX(S64*S$14,'Output - Jobs vs Yr (BAU)'!S15)</f>
        <v>2.0465236567226593E-2</v>
      </c>
      <c r="T40" s="174">
        <f>MAX(T64*T$14,'Output - Jobs vs Yr (BAU)'!T15)</f>
        <v>2.0618239454140406E-2</v>
      </c>
      <c r="U40" s="174">
        <f>MAX(U64*U$14,'Output - Jobs vs Yr (BAU)'!U15)</f>
        <v>2.0798973508341461E-2</v>
      </c>
      <c r="V40" s="174">
        <f>MAX(V64*V$14,'Output - Jobs vs Yr (BAU)'!V15)</f>
        <v>2.0978581537220469E-2</v>
      </c>
      <c r="W40" s="174">
        <f>MAX(W64*W$14,'Output - Jobs vs Yr (BAU)'!W15)</f>
        <v>2.1175393406994612E-2</v>
      </c>
      <c r="X40" s="184">
        <f>Inputs!F18*'Output -Jobs vs Yr'!$X$14</f>
        <v>2.1369490381132592E-2</v>
      </c>
      <c r="Y40" s="174">
        <f>MAX(Y64*Y$14,'Output - Jobs vs Yr (BAU)'!Y15)</f>
        <v>2.1625553231958507E-2</v>
      </c>
      <c r="Z40" s="174">
        <f>MAX(Z64*Z$14,'Output - Jobs vs Yr (BAU)'!Z15)</f>
        <v>2.1848453754729467E-2</v>
      </c>
      <c r="AA40" s="174">
        <f>MAX(AA64*AA$14,'Output - Jobs vs Yr (BAU)'!AA15)</f>
        <v>2.2115074860720851E-2</v>
      </c>
      <c r="AB40" s="174">
        <f>MAX(AB64*AB$14,'Output - Jobs vs Yr (BAU)'!AB15)</f>
        <v>2.239544730031303E-2</v>
      </c>
      <c r="AC40" s="174">
        <f>MAX(AC64*AC$14,'Output - Jobs vs Yr (BAU)'!AC15)</f>
        <v>2.2681328323411385E-2</v>
      </c>
      <c r="AD40" s="174">
        <f>MAX(AD64*AD$14,'Output - Jobs vs Yr (BAU)'!AD15)</f>
        <v>2.3159816180973649E-2</v>
      </c>
      <c r="AE40" s="174">
        <f>MAX(AE64*AE$14,'Output - Jobs vs Yr (BAU)'!AE15)</f>
        <v>2.3665805766677653E-2</v>
      </c>
      <c r="AF40" s="174">
        <f>MAX(AF64*AF$14,'Output - Jobs vs Yr (BAU)'!AF15)</f>
        <v>2.4016166769343684E-2</v>
      </c>
      <c r="AG40" s="174">
        <f>MAX(AG64*AG$14,'Output - Jobs vs Yr (BAU)'!AG15)</f>
        <v>2.4340071772979692E-2</v>
      </c>
      <c r="AH40" s="184">
        <f>Inputs!I18*'Output -Jobs vs Yr'!$AH$14</f>
        <v>2.4680164850882265E-2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2226</v>
      </c>
      <c r="D42" s="330">
        <f>MAX(D66*D$14,'Output - Jobs vs Yr (BAU)'!D16)</f>
        <v>3247</v>
      </c>
      <c r="E42" s="330">
        <f>MAX(E66*E$14,'Output - Jobs vs Yr (BAU)'!E16)</f>
        <v>3530.7354755446099</v>
      </c>
      <c r="F42" s="330">
        <f>MAX(F66*F$14,'Output - Jobs vs Yr (BAU)'!F16)</f>
        <v>4029.9917602115079</v>
      </c>
      <c r="G42" s="330">
        <f>MAX(G66*G$14,'Output - Jobs vs Yr (BAU)'!G16)</f>
        <v>4742.1144022929975</v>
      </c>
      <c r="H42" s="286">
        <f>'Output - Jobs vs Yr (BAU)'!H16</f>
        <v>4756.8199694393879</v>
      </c>
      <c r="I42" s="118">
        <f>MAX(I66*I$14,'Output - Jobs vs Yr (BAU)'!I16)</f>
        <v>5753.9029199844636</v>
      </c>
      <c r="J42" s="118">
        <f>MAX(J66*J$14,'Output - Jobs vs Yr (BAU)'!J16)</f>
        <v>6465.8102874415472</v>
      </c>
      <c r="K42" s="118">
        <f>MAX(K66*K$14,'Output - Jobs vs Yr (BAU)'!K16)</f>
        <v>7455.2127697141141</v>
      </c>
      <c r="L42" s="118">
        <f>MAX(L66*L$14,'Output - Jobs vs Yr (BAU)'!L16)</f>
        <v>8430.3821132497342</v>
      </c>
      <c r="M42" s="118">
        <f>MAX(M66*M$14,'Output - Jobs vs Yr (BAU)'!M16)</f>
        <v>9463.4558682952465</v>
      </c>
      <c r="N42" s="184">
        <f>MAX(Inputs!$E23*N$21,'Output - Jobs vs Yr (BAU)'!N16)</f>
        <v>10647.381019568749</v>
      </c>
      <c r="O42" s="174">
        <f>MAX(O66*O$14,'Output - Jobs vs Yr (BAU)'!O16)</f>
        <v>10488.606372439992</v>
      </c>
      <c r="P42" s="174">
        <f>MAX(P66*P$14,'Output - Jobs vs Yr (BAU)'!P16)</f>
        <v>10481.632977495256</v>
      </c>
      <c r="Q42" s="174">
        <f>MAX(Q66*Q$14,'Output - Jobs vs Yr (BAU)'!Q16)</f>
        <v>10590.737975468572</v>
      </c>
      <c r="R42" s="174">
        <f>MAX(R66*R$14,'Output - Jobs vs Yr (BAU)'!R16)</f>
        <v>10693.721426787346</v>
      </c>
      <c r="S42" s="174">
        <f>MAX(S66*S$14,'Output - Jobs vs Yr (BAU)'!S16)</f>
        <v>10805.342011776705</v>
      </c>
      <c r="T42" s="174">
        <f>MAX(T66*T$14,'Output - Jobs vs Yr (BAU)'!T16)</f>
        <v>10886.125271548082</v>
      </c>
      <c r="U42" s="174">
        <f>MAX(U66*U$14,'Output - Jobs vs Yr (BAU)'!U16)</f>
        <v>10981.550177212001</v>
      </c>
      <c r="V42" s="174">
        <f>MAX(V66*V$14,'Output - Jobs vs Yr (BAU)'!V16)</f>
        <v>11076.380558171615</v>
      </c>
      <c r="W42" s="174">
        <f>MAX(W66*W$14,'Output - Jobs vs Yr (BAU)'!W16)</f>
        <v>11180.294312498429</v>
      </c>
      <c r="X42" s="184">
        <f>Inputs!F23*'Output -Jobs vs Yr'!$X$14</f>
        <v>11282.774642111153</v>
      </c>
      <c r="Y42" s="174">
        <f>MAX(Y66*Y$14,'Output - Jobs vs Yr (BAU)'!Y16)</f>
        <v>11417.9720374892</v>
      </c>
      <c r="Z42" s="174">
        <f>MAX(Z66*Z$14,'Output - Jobs vs Yr (BAU)'!Z16)</f>
        <v>11535.660214473241</v>
      </c>
      <c r="AA42" s="174">
        <f>MAX(AA66*AA$14,'Output - Jobs vs Yr (BAU)'!AA16)</f>
        <v>11676.432212311205</v>
      </c>
      <c r="AB42" s="174">
        <f>MAX(AB66*AB$14,'Output - Jobs vs Yr (BAU)'!AB16)</f>
        <v>11824.464710763788</v>
      </c>
      <c r="AC42" s="174">
        <f>MAX(AC66*AC$14,'Output - Jobs vs Yr (BAU)'!AC16)</f>
        <v>11975.405659777847</v>
      </c>
      <c r="AD42" s="174">
        <f>MAX(AD66*AD$14,'Output - Jobs vs Yr (BAU)'!AD16)</f>
        <v>12228.040166711533</v>
      </c>
      <c r="AE42" s="174">
        <f>MAX(AE66*AE$14,'Output - Jobs vs Yr (BAU)'!AE16)</f>
        <v>12495.195179064751</v>
      </c>
      <c r="AF42" s="174">
        <f>MAX(AF66*AF$14,'Output - Jobs vs Yr (BAU)'!AF16)</f>
        <v>12680.18060295465</v>
      </c>
      <c r="AG42" s="174">
        <f>MAX(AG66*AG$14,'Output - Jobs vs Yr (BAU)'!AG16)</f>
        <v>12851.19765091869</v>
      </c>
      <c r="AH42" s="184">
        <f>Inputs!I23*'Output -Jobs vs Yr'!$AH$14</f>
        <v>13030.761762503898</v>
      </c>
      <c r="AI42" s="127"/>
    </row>
    <row r="43" spans="1:36">
      <c r="A43" s="10" t="s">
        <v>332</v>
      </c>
      <c r="B43" s="37"/>
      <c r="C43" s="330">
        <f>SUM(C31:C42)</f>
        <v>3193</v>
      </c>
      <c r="D43" s="330">
        <f t="shared" ref="D43:AG43" si="29">SUM(D31:D42)</f>
        <v>4238.1653102707724</v>
      </c>
      <c r="E43" s="330">
        <f t="shared" si="29"/>
        <v>4502.7972487048874</v>
      </c>
      <c r="F43" s="330">
        <f t="shared" si="29"/>
        <v>5007.7304322826394</v>
      </c>
      <c r="G43" s="330">
        <f t="shared" si="29"/>
        <v>5646.0147497623357</v>
      </c>
      <c r="H43" s="286">
        <f t="shared" si="29"/>
        <v>5600.7974660831123</v>
      </c>
      <c r="I43" s="83">
        <f t="shared" si="29"/>
        <v>6653.898058231568</v>
      </c>
      <c r="J43" s="83">
        <f t="shared" si="29"/>
        <v>7357.4033210586103</v>
      </c>
      <c r="K43" s="83">
        <f t="shared" si="29"/>
        <v>8361.3320214866708</v>
      </c>
      <c r="L43" s="83">
        <f t="shared" si="29"/>
        <v>9333.4925767345212</v>
      </c>
      <c r="M43" s="83">
        <f t="shared" si="29"/>
        <v>10356.948208643877</v>
      </c>
      <c r="N43" s="184">
        <f t="shared" si="29"/>
        <v>11533.287979521525</v>
      </c>
      <c r="O43" s="83">
        <f t="shared" si="29"/>
        <v>11358.458926502997</v>
      </c>
      <c r="P43" s="83">
        <f t="shared" si="29"/>
        <v>11347.964086912867</v>
      </c>
      <c r="Q43" s="83">
        <f t="shared" si="29"/>
        <v>11463.001036283022</v>
      </c>
      <c r="R43" s="83">
        <f t="shared" si="29"/>
        <v>11571.335876425257</v>
      </c>
      <c r="S43" s="83">
        <f t="shared" si="29"/>
        <v>11688.925026428333</v>
      </c>
      <c r="T43" s="83">
        <f t="shared" si="29"/>
        <v>11773.11540142205</v>
      </c>
      <c r="U43" s="83">
        <f t="shared" si="29"/>
        <v>11873.055356757386</v>
      </c>
      <c r="V43" s="83">
        <f t="shared" si="29"/>
        <v>11972.2807805591</v>
      </c>
      <c r="W43" s="83">
        <f t="shared" si="29"/>
        <v>12081.236644215714</v>
      </c>
      <c r="X43" s="184">
        <f t="shared" si="29"/>
        <v>12188.567786358783</v>
      </c>
      <c r="Y43" s="174">
        <f t="shared" si="29"/>
        <v>12323.25143959856</v>
      </c>
      <c r="Z43" s="174">
        <f t="shared" si="29"/>
        <v>12438.962253890733</v>
      </c>
      <c r="AA43" s="174">
        <f t="shared" si="29"/>
        <v>12579.419926427525</v>
      </c>
      <c r="AB43" s="174">
        <f t="shared" si="29"/>
        <v>12727.552925329373</v>
      </c>
      <c r="AC43" s="174">
        <f t="shared" si="29"/>
        <v>12878.669530175015</v>
      </c>
      <c r="AD43" s="174">
        <f t="shared" si="29"/>
        <v>13138.722122501073</v>
      </c>
      <c r="AE43" s="174">
        <f t="shared" si="29"/>
        <v>13413.999429054977</v>
      </c>
      <c r="AF43" s="174">
        <f t="shared" si="29"/>
        <v>13600.946927727216</v>
      </c>
      <c r="AG43" s="174">
        <f t="shared" si="29"/>
        <v>13772.762285457062</v>
      </c>
      <c r="AH43" s="184">
        <f>SUM(AH31:AH42)</f>
        <v>13953.546901491949</v>
      </c>
      <c r="AI43" s="127"/>
    </row>
    <row r="44" spans="1:36">
      <c r="A44" s="10" t="s">
        <v>124</v>
      </c>
      <c r="B44" s="37"/>
      <c r="C44" s="331">
        <f>SUMPRODUCT($B34:$B42,C34:C42)</f>
        <v>2226.0100000000002</v>
      </c>
      <c r="D44" s="331">
        <f>SUMPRODUCT($B34:$B42,D34:D42)</f>
        <v>3247.0115542083281</v>
      </c>
      <c r="E44" s="331">
        <f t="shared" ref="E44:AG44" si="30">SUMPRODUCT($B34:$B42*E34:E42)</f>
        <v>3530.7835029778134</v>
      </c>
      <c r="F44" s="331">
        <f t="shared" si="30"/>
        <v>4030.0416246131554</v>
      </c>
      <c r="G44" s="331">
        <f t="shared" si="30"/>
        <v>4742.1653918328266</v>
      </c>
      <c r="H44" s="402">
        <f t="shared" si="30"/>
        <v>4757.8661147538878</v>
      </c>
      <c r="I44" s="14">
        <f>SUMPRODUCT($B34:$B42*I34:I42)</f>
        <v>5755.958496447618</v>
      </c>
      <c r="J44" s="14">
        <f t="shared" si="30"/>
        <v>6468.8725470674917</v>
      </c>
      <c r="K44" s="14">
        <f t="shared" si="30"/>
        <v>7459.2844307629539</v>
      </c>
      <c r="L44" s="14">
        <f t="shared" si="30"/>
        <v>8435.4631241996758</v>
      </c>
      <c r="M44" s="14">
        <f t="shared" si="30"/>
        <v>9469.5469236029676</v>
      </c>
      <c r="N44" s="182">
        <f t="shared" si="30"/>
        <v>10654.48377321555</v>
      </c>
      <c r="O44" s="14">
        <f t="shared" si="30"/>
        <v>10496.707593815714</v>
      </c>
      <c r="P44" s="14">
        <f t="shared" si="30"/>
        <v>10490.73413157351</v>
      </c>
      <c r="Q44" s="14">
        <f t="shared" si="30"/>
        <v>10600.840182475844</v>
      </c>
      <c r="R44" s="14">
        <f t="shared" si="30"/>
        <v>10704.824627647018</v>
      </c>
      <c r="S44" s="14">
        <f t="shared" si="30"/>
        <v>10817.446289842326</v>
      </c>
      <c r="T44" s="14">
        <f t="shared" si="30"/>
        <v>10899.230329220869</v>
      </c>
      <c r="U44" s="14">
        <f t="shared" si="30"/>
        <v>10995.656155792663</v>
      </c>
      <c r="V44" s="14">
        <f t="shared" si="30"/>
        <v>11091.487451922634</v>
      </c>
      <c r="W44" s="14">
        <f t="shared" si="30"/>
        <v>11196.402209079833</v>
      </c>
      <c r="X44" s="187">
        <f t="shared" si="30"/>
        <v>11299.88352768953</v>
      </c>
      <c r="Y44" s="14">
        <f t="shared" si="30"/>
        <v>11436.083028508807</v>
      </c>
      <c r="Z44" s="14">
        <f t="shared" si="30"/>
        <v>11554.773946141784</v>
      </c>
      <c r="AA44" s="14">
        <f t="shared" si="30"/>
        <v>11696.548648001237</v>
      </c>
      <c r="AB44" s="14">
        <f t="shared" si="30"/>
        <v>11845.583915530957</v>
      </c>
      <c r="AC44" s="14">
        <f t="shared" si="30"/>
        <v>11997.526572529356</v>
      </c>
      <c r="AD44" s="14">
        <f t="shared" si="30"/>
        <v>12251.163603117691</v>
      </c>
      <c r="AE44" s="14">
        <f t="shared" si="30"/>
        <v>12519.321181224597</v>
      </c>
      <c r="AF44" s="14">
        <f t="shared" si="30"/>
        <v>12705.308619498846</v>
      </c>
      <c r="AG44" s="14">
        <f t="shared" si="30"/>
        <v>12877.327615778095</v>
      </c>
      <c r="AH44" s="187">
        <f>SUMPRODUCT($B34:$B42*AH34:AH42)</f>
        <v>13057.887517211955</v>
      </c>
      <c r="AI44" s="127"/>
    </row>
    <row r="45" spans="1:36">
      <c r="A45" s="10" t="s">
        <v>117</v>
      </c>
      <c r="B45" s="37"/>
      <c r="C45" s="332">
        <f t="shared" ref="C45:AG45" si="31">C44/C14</f>
        <v>4.8661274456224729E-2</v>
      </c>
      <c r="D45" s="332">
        <f t="shared" si="31"/>
        <v>6.7870896390299709E-2</v>
      </c>
      <c r="E45" s="332">
        <f t="shared" si="31"/>
        <v>7.3726308430712567E-2</v>
      </c>
      <c r="F45" s="332">
        <f t="shared" si="31"/>
        <v>8.1927327894211949E-2</v>
      </c>
      <c r="G45" s="332">
        <f t="shared" si="31"/>
        <v>0.10207084404687884</v>
      </c>
      <c r="H45" s="284">
        <f t="shared" si="31"/>
        <v>9.9109392017921169E-2</v>
      </c>
      <c r="I45" s="23">
        <f t="shared" si="31"/>
        <v>0.11143172393403658</v>
      </c>
      <c r="J45" s="23">
        <f t="shared" si="31"/>
        <v>0.12528347133138173</v>
      </c>
      <c r="K45" s="23">
        <f t="shared" si="31"/>
        <v>0.14085091813875672</v>
      </c>
      <c r="L45" s="23">
        <f t="shared" si="31"/>
        <v>0.15835021029815957</v>
      </c>
      <c r="M45" s="23">
        <f t="shared" si="31"/>
        <v>0.17802083263491222</v>
      </c>
      <c r="N45" s="178">
        <f t="shared" si="31"/>
        <v>0.20013148646476664</v>
      </c>
      <c r="O45" s="23">
        <f t="shared" si="31"/>
        <v>0.20206932242483225</v>
      </c>
      <c r="P45" s="23">
        <f t="shared" si="31"/>
        <v>0.2040240074785255</v>
      </c>
      <c r="Q45" s="207">
        <f t="shared" si="31"/>
        <v>0.20599547183272007</v>
      </c>
      <c r="R45" s="207">
        <f t="shared" si="31"/>
        <v>0.20798574440459197</v>
      </c>
      <c r="S45" s="207">
        <f t="shared" si="31"/>
        <v>0.20999472079292639</v>
      </c>
      <c r="T45" s="207">
        <f t="shared" si="31"/>
        <v>0.21202346045847675</v>
      </c>
      <c r="U45" s="207">
        <f t="shared" si="31"/>
        <v>0.21407117083398403</v>
      </c>
      <c r="V45" s="207">
        <f t="shared" si="31"/>
        <v>0.21613837210710693</v>
      </c>
      <c r="W45" s="207">
        <f t="shared" si="31"/>
        <v>0.21822498696461429</v>
      </c>
      <c r="X45" s="185">
        <f t="shared" si="31"/>
        <v>0.22033147554796798</v>
      </c>
      <c r="Y45" s="172">
        <f t="shared" si="31"/>
        <v>0.22318168241404199</v>
      </c>
      <c r="Z45" s="172">
        <f t="shared" si="31"/>
        <v>0.22606896884402669</v>
      </c>
      <c r="AA45" s="172">
        <f t="shared" si="31"/>
        <v>0.22899249926636048</v>
      </c>
      <c r="AB45" s="172">
        <f t="shared" si="31"/>
        <v>0.23195321953602771</v>
      </c>
      <c r="AC45" s="172">
        <f t="shared" si="31"/>
        <v>0.23495172625682384</v>
      </c>
      <c r="AD45" s="172">
        <f t="shared" si="31"/>
        <v>0.23798488193049905</v>
      </c>
      <c r="AE45" s="172">
        <f t="shared" si="31"/>
        <v>0.24105622777905916</v>
      </c>
      <c r="AF45" s="172">
        <f t="shared" si="31"/>
        <v>0.24416990345899228</v>
      </c>
      <c r="AG45" s="172">
        <f t="shared" si="31"/>
        <v>0.2473239798960036</v>
      </c>
      <c r="AH45" s="185">
        <f>AH44/AH14</f>
        <v>0.25051800002041952</v>
      </c>
      <c r="AI45" s="127"/>
    </row>
    <row r="46" spans="1:36" s="252" customFormat="1">
      <c r="A46" s="10" t="s">
        <v>333</v>
      </c>
      <c r="B46" s="37"/>
      <c r="C46" s="330">
        <f>SUM(EIA_electricity_aeo2014!E50,EIA_electricity_aeo2014!E55)*1000</f>
        <v>110</v>
      </c>
      <c r="D46" s="330">
        <f>SUM(EIA_electricity_aeo2014!F50,EIA_electricity_aeo2014!F55)*1000</f>
        <v>124</v>
      </c>
      <c r="E46" s="330">
        <f>SUM(EIA_electricity_aeo2014!G50,EIA_electricity_aeo2014!G55)*1000</f>
        <v>792.70452050904555</v>
      </c>
      <c r="F46" s="330">
        <f>SUM(EIA_electricity_aeo2014!H50,EIA_electricity_aeo2014!H55)*1000</f>
        <v>1491.6259545464727</v>
      </c>
      <c r="G46" s="330">
        <f>SUM(EIA_electricity_aeo2014!I50,EIA_electricity_aeo2014!I55)*1000</f>
        <v>1278.9306660294701</v>
      </c>
      <c r="H46" s="286">
        <f>SUM(EIA_electricity_aeo2014!J50,EIA_electricity_aeo2014!J55)*1000</f>
        <v>1291.0804057986384</v>
      </c>
      <c r="I46" s="286">
        <f>SUM(EIA_electricity_aeo2014!K50,EIA_electricity_aeo2014!K55)*1000</f>
        <v>1330.9171142177274</v>
      </c>
      <c r="J46" s="286">
        <f>SUM(EIA_electricity_aeo2014!L50,EIA_electricity_aeo2014!L55)*1000</f>
        <v>1341.7396845742378</v>
      </c>
      <c r="K46" s="286">
        <f>SUM(EIA_electricity_aeo2014!M50,EIA_electricity_aeo2014!M55)*1000</f>
        <v>1342.897866613315</v>
      </c>
      <c r="L46" s="286">
        <f>SUM(EIA_electricity_aeo2014!N50,EIA_electricity_aeo2014!N55)*1000</f>
        <v>1343.3816213941593</v>
      </c>
      <c r="M46" s="286">
        <f>SUM(EIA_electricity_aeo2014!O50,EIA_electricity_aeo2014!O55)*1000</f>
        <v>1343.2708804540766</v>
      </c>
      <c r="N46" s="286">
        <f>SUM(EIA_electricity_aeo2014!P50,EIA_electricity_aeo2014!P55)*1000</f>
        <v>1343.3280979163765</v>
      </c>
      <c r="O46" s="286">
        <f>SUM(EIA_electricity_aeo2014!Q50,EIA_electricity_aeo2014!Q55)*1000</f>
        <v>1342.1560830842157</v>
      </c>
      <c r="P46" s="286">
        <f>SUM(EIA_electricity_aeo2014!R50,EIA_electricity_aeo2014!R55)*1000</f>
        <v>1341.642304854747</v>
      </c>
      <c r="Q46" s="286">
        <f>SUM(EIA_electricity_aeo2014!S50,EIA_electricity_aeo2014!S55)*1000</f>
        <v>1341.6573951744745</v>
      </c>
      <c r="R46" s="286">
        <f>SUM(EIA_electricity_aeo2014!T50,EIA_electricity_aeo2014!T55)*1000</f>
        <v>1341.6763366695488</v>
      </c>
      <c r="S46" s="286">
        <f>SUM(EIA_electricity_aeo2014!U50,EIA_electricity_aeo2014!U55)*1000</f>
        <v>1341.7218434149768</v>
      </c>
      <c r="T46" s="286">
        <f>SUM(EIA_electricity_aeo2014!V50,EIA_electricity_aeo2014!V55)*1000</f>
        <v>1341.6412831143487</v>
      </c>
      <c r="U46" s="286">
        <f>SUM(EIA_electricity_aeo2014!W50,EIA_electricity_aeo2014!W55)*1000</f>
        <v>1341.5460254710697</v>
      </c>
      <c r="V46" s="286">
        <f>SUM(EIA_electricity_aeo2014!X50,EIA_electricity_aeo2014!X55)*1000</f>
        <v>1341.487236100465</v>
      </c>
      <c r="W46" s="286">
        <f>SUM(EIA_electricity_aeo2014!Y50,EIA_electricity_aeo2014!Y55)*1000</f>
        <v>1341.448409965333</v>
      </c>
      <c r="X46" s="286">
        <f>SUM(EIA_electricity_aeo2014!Z50,EIA_electricity_aeo2014!Z55)*1000</f>
        <v>1341.4029818153203</v>
      </c>
      <c r="Y46" s="286">
        <f>SUM(EIA_electricity_aeo2014!AA50,EIA_electricity_aeo2014!AA55)*1000</f>
        <v>1341.3537024899606</v>
      </c>
      <c r="Z46" s="286">
        <f>SUM(EIA_electricity_aeo2014!AB50,EIA_electricity_aeo2014!AB55)*1000</f>
        <v>1341.3073311949649</v>
      </c>
      <c r="AA46" s="286">
        <f>SUM(EIA_electricity_aeo2014!AC50,EIA_electricity_aeo2014!AC55)*1000</f>
        <v>1341.2616672587064</v>
      </c>
      <c r="AB46" s="286">
        <f>SUM(EIA_electricity_aeo2014!AD50,EIA_electricity_aeo2014!AD55)*1000</f>
        <v>1341.2181253986596</v>
      </c>
      <c r="AC46" s="286">
        <f>SUM(EIA_electricity_aeo2014!AE50,EIA_electricity_aeo2014!AE55)*1000</f>
        <v>1341.1855868967477</v>
      </c>
      <c r="AD46" s="286">
        <f>SUM(EIA_electricity_aeo2014!AF50,EIA_electricity_aeo2014!AF55)*1000</f>
        <v>1341.1644447300462</v>
      </c>
      <c r="AE46" s="286">
        <f>SUM(EIA_electricity_aeo2014!AG50,EIA_electricity_aeo2014!AG55)*1000</f>
        <v>1341.1052623823655</v>
      </c>
      <c r="AF46" s="286">
        <f>SUM(EIA_electricity_aeo2014!AH50,EIA_electricity_aeo2014!AH55)*1000</f>
        <v>1341.0633710260388</v>
      </c>
      <c r="AG46" s="286">
        <f>SUM(EIA_electricity_aeo2014!AI50,EIA_electricity_aeo2014!AI55)*1000</f>
        <v>1341.0298893791437</v>
      </c>
      <c r="AH46" s="286">
        <f>SUM(EIA_electricity_aeo2014!AJ50,EIA_electricity_aeo2014!AJ55)*1000</f>
        <v>1340.9848542062073</v>
      </c>
      <c r="AI46" s="292"/>
    </row>
    <row r="47" spans="1:36" s="252" customFormat="1">
      <c r="A47" s="10" t="s">
        <v>142</v>
      </c>
      <c r="B47" s="37"/>
      <c r="C47" s="330">
        <f>(C$14-C$43-C$46)*0.7</f>
        <v>29709.399999999998</v>
      </c>
      <c r="D47" s="330">
        <f>(D$14-D$30-D$43-D$46)*EIA_electricity_aeo2014!F60</f>
        <v>43019.487796514994</v>
      </c>
      <c r="E47" s="330">
        <f>(E$14-E$30-E$43-E$46)*EIA_electricity_aeo2014!G60</f>
        <v>42349.192437159254</v>
      </c>
      <c r="F47" s="330">
        <f>(F$14-F$30-F$43-F$46)*EIA_electricity_aeo2014!H60</f>
        <v>42397.263897514575</v>
      </c>
      <c r="G47" s="330">
        <f>(G$14-G$30-G$43-G$46)*EIA_electricity_aeo2014!I60</f>
        <v>39172.006695511809</v>
      </c>
      <c r="H47" s="286">
        <f>(H$14-H$30-H$43-H$46)*EIA_electricity_aeo2014!J60</f>
        <v>40758.309419070436</v>
      </c>
      <c r="I47" s="286">
        <f>(I$14-I$30-I$43-I$46)*EIA_electricity_aeo2014!K60</f>
        <v>43443.201063870307</v>
      </c>
      <c r="J47" s="286">
        <f>(J$14-J$30-J$43-J$46)*EIA_electricity_aeo2014!L60</f>
        <v>42692.64026920584</v>
      </c>
      <c r="K47" s="286">
        <f>(K$14-K$30-K$43-K$46)*EIA_electricity_aeo2014!M60</f>
        <v>43019.143653545521</v>
      </c>
      <c r="L47" s="286">
        <f>(L$14-L$30-L$43-L$46)*EIA_electricity_aeo2014!N60</f>
        <v>42339.971247763206</v>
      </c>
      <c r="M47" s="286">
        <f>(M$14-M$30-M$43-M$46)*EIA_electricity_aeo2014!O60</f>
        <v>41235.500985041304</v>
      </c>
      <c r="N47" s="287">
        <f>(N$14-N$43-N$46)*EIA_electricity_aeo2014!P60 - N30</f>
        <v>40099.52738500027</v>
      </c>
      <c r="O47" s="286">
        <f>(O$14-O$43-O$46)*EIA_electricity_aeo2014!Q60 - O30</f>
        <v>38944.901746223622</v>
      </c>
      <c r="P47" s="286">
        <f>(P$14-P$43-P$46)*EIA_electricity_aeo2014!R60 - P30</f>
        <v>38392.966008648116</v>
      </c>
      <c r="Q47" s="286">
        <f>(Q$14-Q$43-Q$46)*EIA_electricity_aeo2014!S60 - Q30</f>
        <v>38297.251769436043</v>
      </c>
      <c r="R47" s="286">
        <f>(R$14-R$43-R$46)*EIA_electricity_aeo2014!T60 - R30</f>
        <v>38187.965078398265</v>
      </c>
      <c r="S47" s="286">
        <f>(S$14-S$43-S$46)*EIA_electricity_aeo2014!U60 - S30</f>
        <v>38096.410205261542</v>
      </c>
      <c r="T47" s="286">
        <f>(T$14-T$43-T$46)*EIA_electricity_aeo2014!V60 - T30</f>
        <v>37880.235219110691</v>
      </c>
      <c r="U47" s="286">
        <f>(U$14-U$43-U$46)*EIA_electricity_aeo2014!W60 - U30</f>
        <v>37725.169885051211</v>
      </c>
      <c r="V47" s="286">
        <f>(V$14-V$43-V$46)*EIA_electricity_aeo2014!X60 - V30</f>
        <v>37568.783798492863</v>
      </c>
      <c r="W47" s="286">
        <f>(W$14-W$43-W$46)*EIA_electricity_aeo2014!Y60 - W30</f>
        <v>37428.441457883186</v>
      </c>
      <c r="X47" s="287">
        <f>(X$14-X$43-X$46)*EIA_electricity_aeo2014!Z60 - X30</f>
        <v>37281.487546569799</v>
      </c>
      <c r="Y47" s="286">
        <f>(Y$14-Y$43-Y$46)*EIA_electricity_aeo2014!AA60 - Y30</f>
        <v>37104.110947000918</v>
      </c>
      <c r="Z47" s="286">
        <f>(Z$14-Z$43-Z$46)*EIA_electricity_aeo2014!AB60 - Z30</f>
        <v>36841.536418641153</v>
      </c>
      <c r="AA47" s="286">
        <f>(AA$14-AA$43-AA$46)*EIA_electricity_aeo2014!AC60 - AA30</f>
        <v>36660.614466368686</v>
      </c>
      <c r="AB47" s="286">
        <f>(AB$14-AB$43-AB$46)*EIA_electricity_aeo2014!AD60 - AB30</f>
        <v>36500.155228469179</v>
      </c>
      <c r="AC47" s="286">
        <f>(AC$14-AC$43-AC$46)*EIA_electricity_aeo2014!AE60 - AC30</f>
        <v>36339.875872291115</v>
      </c>
      <c r="AD47" s="286">
        <f>(AD$14-AD$43-AD$46)*EIA_electricity_aeo2014!AF60 - AD30</f>
        <v>36495.581743629031</v>
      </c>
      <c r="AE47" s="286">
        <f>(AE$14-AE$43-AE$46)*EIA_electricity_aeo2014!AG60 - AE30</f>
        <v>36672.253934560184</v>
      </c>
      <c r="AF47" s="286">
        <f>(AF$14-AF$43-AF$46)*EIA_electricity_aeo2014!AH60 - AF30</f>
        <v>36577.346997824381</v>
      </c>
      <c r="AG47" s="286">
        <f>(AG$14-AG$43-AG$46)*EIA_electricity_aeo2014!AI60 - AG30</f>
        <v>36419.996344201048</v>
      </c>
      <c r="AH47" s="287">
        <f>(AH$14-AH$43-AH$46)*EIA_electricity_aeo2014!AJ60 - AH30</f>
        <v>36280.575558727207</v>
      </c>
      <c r="AI47" s="292"/>
      <c r="AJ47" s="398"/>
    </row>
    <row r="48" spans="1:36" s="252" customFormat="1">
      <c r="A48" s="10" t="s">
        <v>222</v>
      </c>
      <c r="B48" s="37"/>
      <c r="C48" s="330">
        <f>(C$14-C$43-C$46)* 0.3</f>
        <v>12732.6</v>
      </c>
      <c r="D48" s="330">
        <f t="shared" ref="D48:AH48" si="32">(D$14-SUM(D30:D42,D46:D47))</f>
        <v>459.34689321423502</v>
      </c>
      <c r="E48" s="330">
        <f t="shared" si="32"/>
        <v>245.72073683555209</v>
      </c>
      <c r="F48" s="330">
        <f>(F$14-SUM(F30:F42,F46:F47))</f>
        <v>293.82359070758685</v>
      </c>
      <c r="G48" s="330">
        <f t="shared" si="32"/>
        <v>362.59700004551996</v>
      </c>
      <c r="H48" s="286">
        <f t="shared" si="32"/>
        <v>356.02097933526238</v>
      </c>
      <c r="I48" s="286">
        <f t="shared" si="32"/>
        <v>226.56015572231263</v>
      </c>
      <c r="J48" s="286">
        <f t="shared" si="32"/>
        <v>242.10328915158607</v>
      </c>
      <c r="K48" s="286">
        <f t="shared" si="32"/>
        <v>235.34713502466184</v>
      </c>
      <c r="L48" s="286">
        <f t="shared" si="32"/>
        <v>254.08553876823862</v>
      </c>
      <c r="M48" s="286">
        <f t="shared" si="32"/>
        <v>257.75612436418305</v>
      </c>
      <c r="N48" s="287">
        <f t="shared" si="32"/>
        <v>261.27540363957087</v>
      </c>
      <c r="O48" s="286">
        <f t="shared" si="32"/>
        <v>300.55535377612978</v>
      </c>
      <c r="P48" s="286">
        <f t="shared" si="32"/>
        <v>336.54371844449633</v>
      </c>
      <c r="Q48" s="286">
        <f t="shared" si="32"/>
        <v>359.61023041149019</v>
      </c>
      <c r="R48" s="286">
        <f t="shared" si="32"/>
        <v>368.05323409459379</v>
      </c>
      <c r="S48" s="286">
        <f t="shared" si="32"/>
        <v>385.88691223136993</v>
      </c>
      <c r="T48" s="286">
        <f t="shared" si="32"/>
        <v>410.7832197874377</v>
      </c>
      <c r="U48" s="286">
        <f t="shared" si="32"/>
        <v>424.71706132386316</v>
      </c>
      <c r="V48" s="286">
        <f t="shared" si="32"/>
        <v>434.05311618419364</v>
      </c>
      <c r="W48" s="286">
        <f t="shared" si="32"/>
        <v>455.56556209021073</v>
      </c>
      <c r="X48" s="287">
        <f t="shared" si="32"/>
        <v>474.37590202669526</v>
      </c>
      <c r="Y48" s="286">
        <f t="shared" si="32"/>
        <v>472.42030172252998</v>
      </c>
      <c r="Z48" s="286">
        <f t="shared" si="32"/>
        <v>489.91448239545571</v>
      </c>
      <c r="AA48" s="286">
        <f t="shared" si="32"/>
        <v>497.00862448409316</v>
      </c>
      <c r="AB48" s="286">
        <f t="shared" si="32"/>
        <v>499.92260000992974</v>
      </c>
      <c r="AC48" s="286">
        <f t="shared" si="32"/>
        <v>504.06310855728952</v>
      </c>
      <c r="AD48" s="286">
        <f t="shared" si="32"/>
        <v>503.27901013780502</v>
      </c>
      <c r="AE48" s="286">
        <f t="shared" si="32"/>
        <v>507.91513386243605</v>
      </c>
      <c r="AF48" s="286">
        <f t="shared" si="32"/>
        <v>515.34656950580393</v>
      </c>
      <c r="AG48" s="286">
        <f t="shared" si="32"/>
        <v>532.8474019633577</v>
      </c>
      <c r="AH48" s="287">
        <f t="shared" si="32"/>
        <v>548.44275442245998</v>
      </c>
      <c r="AI48" s="292"/>
    </row>
    <row r="49" spans="1:35" s="252" customFormat="1">
      <c r="A49" s="10" t="s">
        <v>334</v>
      </c>
      <c r="B49" s="37"/>
      <c r="C49" s="330">
        <f>SUM(C43,C46:C48)</f>
        <v>45744.999999999993</v>
      </c>
      <c r="D49" s="330">
        <f t="shared" ref="D49:M49" si="33">SUM(D43,D46:D48)+D30</f>
        <v>47841</v>
      </c>
      <c r="E49" s="330">
        <f t="shared" si="33"/>
        <v>47890.414943208736</v>
      </c>
      <c r="F49" s="330">
        <f t="shared" si="33"/>
        <v>49190.443875051271</v>
      </c>
      <c r="G49" s="330">
        <f t="shared" si="33"/>
        <v>46459.549111349137</v>
      </c>
      <c r="H49" s="286">
        <f>SUM(H43,H46:H48)+H30</f>
        <v>48006.208270287447</v>
      </c>
      <c r="I49" s="286">
        <f t="shared" si="33"/>
        <v>51654.576392041912</v>
      </c>
      <c r="J49" s="286">
        <f t="shared" si="33"/>
        <v>51633.886563990272</v>
      </c>
      <c r="K49" s="286">
        <f t="shared" si="33"/>
        <v>52958.720676670171</v>
      </c>
      <c r="L49" s="286">
        <f t="shared" si="33"/>
        <v>53270.930984660125</v>
      </c>
      <c r="M49" s="286">
        <f t="shared" si="33"/>
        <v>53193.476198503442</v>
      </c>
      <c r="N49" s="287">
        <f t="shared" ref="N49:AH49" si="34">SUM(N43,N46:N48)+N30</f>
        <v>53237.418866077744</v>
      </c>
      <c r="O49" s="286">
        <f t="shared" si="34"/>
        <v>51946.072109586967</v>
      </c>
      <c r="P49" s="286">
        <f t="shared" si="34"/>
        <v>51419.116118860227</v>
      </c>
      <c r="Q49" s="286">
        <f t="shared" si="34"/>
        <v>51461.520431305027</v>
      </c>
      <c r="R49" s="286">
        <f t="shared" si="34"/>
        <v>51469.030525587666</v>
      </c>
      <c r="S49" s="286">
        <f t="shared" si="34"/>
        <v>51512.943987336221</v>
      </c>
      <c r="T49" s="286">
        <f t="shared" si="34"/>
        <v>51405.775123434527</v>
      </c>
      <c r="U49" s="286">
        <f t="shared" si="34"/>
        <v>51364.488328603526</v>
      </c>
      <c r="V49" s="286">
        <f t="shared" si="34"/>
        <v>51316.604931336624</v>
      </c>
      <c r="W49" s="286">
        <f t="shared" si="34"/>
        <v>51306.692074154445</v>
      </c>
      <c r="X49" s="287">
        <f t="shared" si="34"/>
        <v>51285.834216770592</v>
      </c>
      <c r="Y49" s="286">
        <f t="shared" si="34"/>
        <v>51241.136390811967</v>
      </c>
      <c r="Z49" s="286">
        <f t="shared" si="34"/>
        <v>51111.720486122307</v>
      </c>
      <c r="AA49" s="286">
        <f t="shared" si="34"/>
        <v>51078.304684539013</v>
      </c>
      <c r="AB49" s="286">
        <f t="shared" si="34"/>
        <v>51068.848879207144</v>
      </c>
      <c r="AC49" s="286">
        <f t="shared" si="34"/>
        <v>51063.794097920167</v>
      </c>
      <c r="AD49" s="286">
        <f t="shared" si="34"/>
        <v>51478.747320997951</v>
      </c>
      <c r="AE49" s="286">
        <f t="shared" si="34"/>
        <v>51935.273759859963</v>
      </c>
      <c r="AF49" s="286">
        <f t="shared" si="34"/>
        <v>52034.703866083444</v>
      </c>
      <c r="AG49" s="286">
        <f t="shared" si="34"/>
        <v>52066.635921000612</v>
      </c>
      <c r="AH49" s="287">
        <f t="shared" si="34"/>
        <v>52123.550068847821</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0.45866889825666912</v>
      </c>
      <c r="E51" s="332">
        <f t="shared" ref="E51:X51" si="36">E44/D44-1</f>
        <v>8.7394807204088654E-2</v>
      </c>
      <c r="F51" s="332">
        <f t="shared" si="36"/>
        <v>0.1414015108018587</v>
      </c>
      <c r="G51" s="332">
        <f>G44/F44-1</f>
        <v>0.17670382431546927</v>
      </c>
      <c r="H51" s="284"/>
      <c r="I51" s="164">
        <f t="shared" ref="I51:N51" si="37">I44/H44-1</f>
        <v>0.20977731563288415</v>
      </c>
      <c r="J51" s="172">
        <f t="shared" si="37"/>
        <v>0.12385670450192787</v>
      </c>
      <c r="K51" s="172">
        <f t="shared" si="37"/>
        <v>0.15310425062315414</v>
      </c>
      <c r="L51" s="172">
        <f t="shared" si="37"/>
        <v>0.13086760566614775</v>
      </c>
      <c r="M51" s="172">
        <f t="shared" si="37"/>
        <v>0.12258767351334976</v>
      </c>
      <c r="N51" s="172">
        <f t="shared" si="37"/>
        <v>0.12513131400818267</v>
      </c>
      <c r="O51" s="172">
        <f t="shared" ref="O51:R51" si="38">O44/N44-1</f>
        <v>-1.4808430211933121E-2</v>
      </c>
      <c r="P51" s="172">
        <f t="shared" si="38"/>
        <v>-5.6907960794516654E-4</v>
      </c>
      <c r="Q51" s="172">
        <f t="shared" si="38"/>
        <v>1.0495552505801475E-2</v>
      </c>
      <c r="R51" s="172">
        <f t="shared" si="38"/>
        <v>9.8090758261850652E-3</v>
      </c>
      <c r="S51" s="164">
        <f t="shared" si="36"/>
        <v>1.0520645233593529E-2</v>
      </c>
      <c r="T51" s="164">
        <f t="shared" si="36"/>
        <v>7.5603832168169571E-3</v>
      </c>
      <c r="U51" s="164">
        <f t="shared" si="36"/>
        <v>8.8470308140269349E-3</v>
      </c>
      <c r="V51" s="164">
        <f t="shared" si="36"/>
        <v>8.7153776702526553E-3</v>
      </c>
      <c r="W51" s="164">
        <f t="shared" si="36"/>
        <v>9.4590340215381374E-3</v>
      </c>
      <c r="X51" s="185">
        <f t="shared" si="36"/>
        <v>9.2423723868884089E-3</v>
      </c>
      <c r="Y51" s="172">
        <f t="shared" ref="Y51:AH51" si="39">Y44/X44-1</f>
        <v>1.2053177405371596E-2</v>
      </c>
      <c r="Z51" s="172">
        <f t="shared" si="39"/>
        <v>1.0378633780210755E-2</v>
      </c>
      <c r="AA51" s="172">
        <f t="shared" si="39"/>
        <v>1.2269794504010445E-2</v>
      </c>
      <c r="AB51" s="172">
        <f t="shared" si="39"/>
        <v>1.2741815728282146E-2</v>
      </c>
      <c r="AC51" s="172">
        <f t="shared" si="39"/>
        <v>1.2826945305683513E-2</v>
      </c>
      <c r="AD51" s="172">
        <f t="shared" si="39"/>
        <v>2.1140776730520949E-2</v>
      </c>
      <c r="AE51" s="172">
        <f t="shared" si="39"/>
        <v>2.1888335409925075E-2</v>
      </c>
      <c r="AF51" s="172">
        <f t="shared" si="39"/>
        <v>1.4856032174745737E-2</v>
      </c>
      <c r="AG51" s="172">
        <f t="shared" si="39"/>
        <v>1.3539143473874526E-2</v>
      </c>
      <c r="AH51" s="185">
        <f t="shared" si="39"/>
        <v>1.4021535121357509E-2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2.1138703683462677E-2</v>
      </c>
      <c r="D56" s="336">
        <f t="shared" si="40"/>
        <v>2.0717663846124543E-2</v>
      </c>
      <c r="E56" s="336">
        <f t="shared" si="40"/>
        <v>2.0296624008786412E-2</v>
      </c>
      <c r="F56" s="336">
        <f t="shared" si="40"/>
        <v>1.9875584171448281E-2</v>
      </c>
      <c r="G56" s="336">
        <f t="shared" si="40"/>
        <v>1.945454433411015E-2</v>
      </c>
      <c r="H56" s="396">
        <f t="shared" si="40"/>
        <v>1.7558798782509575E-2</v>
      </c>
      <c r="I56" s="173">
        <f t="shared" si="40"/>
        <v>1.7383543230881853E-2</v>
      </c>
      <c r="J56" s="173">
        <f t="shared" si="40"/>
        <v>1.7208287679254131E-2</v>
      </c>
      <c r="K56" s="173">
        <f t="shared" si="40"/>
        <v>1.7033032127626409E-2</v>
      </c>
      <c r="L56" s="173">
        <f t="shared" si="40"/>
        <v>1.6857776575998688E-2</v>
      </c>
      <c r="M56" s="173">
        <f t="shared" si="40"/>
        <v>1.6682521024370966E-2</v>
      </c>
      <c r="N56" s="178">
        <f>N26</f>
        <v>1.6507265472743247E-2</v>
      </c>
      <c r="O56" s="116">
        <f t="shared" ref="O56:AH56" si="41">O31/O$49</f>
        <v>1.6589345405544957E-2</v>
      </c>
      <c r="P56" s="116">
        <f t="shared" si="41"/>
        <v>1.6671425338346667E-2</v>
      </c>
      <c r="Q56" s="116">
        <f t="shared" si="41"/>
        <v>1.6753505271148376E-2</v>
      </c>
      <c r="R56" s="116">
        <f t="shared" si="41"/>
        <v>1.6835585203950086E-2</v>
      </c>
      <c r="S56" s="116">
        <f t="shared" si="41"/>
        <v>1.6917665136751796E-2</v>
      </c>
      <c r="T56" s="116">
        <f t="shared" si="41"/>
        <v>1.6999745069553505E-2</v>
      </c>
      <c r="U56" s="116">
        <f t="shared" si="41"/>
        <v>1.7081825002355215E-2</v>
      </c>
      <c r="V56" s="116">
        <f t="shared" si="41"/>
        <v>1.7163904935156925E-2</v>
      </c>
      <c r="W56" s="116">
        <f t="shared" si="41"/>
        <v>1.7245984867958634E-2</v>
      </c>
      <c r="X56" s="178">
        <f t="shared" si="41"/>
        <v>1.7328064800760327E-2</v>
      </c>
      <c r="Y56" s="173">
        <f t="shared" si="41"/>
        <v>1.7313597503447083E-2</v>
      </c>
      <c r="Z56" s="173">
        <f t="shared" si="41"/>
        <v>1.7299130206133839E-2</v>
      </c>
      <c r="AA56" s="173">
        <f t="shared" si="41"/>
        <v>1.7284662908820594E-2</v>
      </c>
      <c r="AB56" s="173">
        <f t="shared" si="41"/>
        <v>1.727019561150735E-2</v>
      </c>
      <c r="AC56" s="173">
        <f t="shared" si="41"/>
        <v>1.7255728314194106E-2</v>
      </c>
      <c r="AD56" s="173">
        <f t="shared" si="41"/>
        <v>1.7241261016880862E-2</v>
      </c>
      <c r="AE56" s="173">
        <f t="shared" si="41"/>
        <v>1.7226793719567618E-2</v>
      </c>
      <c r="AF56" s="173">
        <f t="shared" si="41"/>
        <v>1.7212326422254374E-2</v>
      </c>
      <c r="AG56" s="173">
        <f t="shared" si="41"/>
        <v>1.719785912494113E-2</v>
      </c>
      <c r="AH56" s="178">
        <f t="shared" si="41"/>
        <v>1.7183391827627882E-2</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0</v>
      </c>
      <c r="D58" s="336">
        <f t="shared" ref="D58:G59" si="44">C58*($N71)</f>
        <v>0</v>
      </c>
      <c r="E58" s="336">
        <f t="shared" si="44"/>
        <v>0</v>
      </c>
      <c r="F58" s="336">
        <f t="shared" si="44"/>
        <v>0</v>
      </c>
      <c r="G58" s="336">
        <f t="shared" si="44"/>
        <v>0</v>
      </c>
      <c r="H58" s="396">
        <f>H34/H$49</f>
        <v>5.516907282259187E-8</v>
      </c>
      <c r="I58" s="116">
        <f t="shared" ref="I58:N59" si="45">H58*($N71)</f>
        <v>6.6127117468543813E-8</v>
      </c>
      <c r="J58" s="116">
        <f t="shared" si="45"/>
        <v>7.9261721123359568E-8</v>
      </c>
      <c r="K58" s="116">
        <f t="shared" si="45"/>
        <v>9.5005206274501913E-8</v>
      </c>
      <c r="L58" s="116">
        <f t="shared" si="45"/>
        <v>1.1387576614962717E-7</v>
      </c>
      <c r="M58" s="116">
        <f t="shared" si="45"/>
        <v>1.3649452092863802E-7</v>
      </c>
      <c r="N58" s="178">
        <f t="shared" si="45"/>
        <v>1.6360596177292459E-7</v>
      </c>
      <c r="O58" s="116">
        <f t="shared" ref="O58:W58" si="46">N58*$X71</f>
        <v>1.651727478086352E-7</v>
      </c>
      <c r="P58" s="116">
        <f t="shared" si="46"/>
        <v>1.6675453830051049E-7</v>
      </c>
      <c r="Q58" s="116">
        <f t="shared" si="46"/>
        <v>1.6835147693996689E-7</v>
      </c>
      <c r="R58" s="116">
        <f t="shared" si="46"/>
        <v>1.6996370879449366E-7</v>
      </c>
      <c r="S58" s="116">
        <f t="shared" si="46"/>
        <v>1.7159138032083085E-7</v>
      </c>
      <c r="T58" s="116">
        <f t="shared" si="46"/>
        <v>1.7323463937827358E-7</v>
      </c>
      <c r="U58" s="116">
        <f t="shared" si="46"/>
        <v>1.7489363524210378E-7</v>
      </c>
      <c r="V58" s="116">
        <f t="shared" si="46"/>
        <v>1.7656851861715048E-7</v>
      </c>
      <c r="W58" s="116">
        <f t="shared" si="46"/>
        <v>1.7825944165147993E-7</v>
      </c>
      <c r="X58" s="178">
        <f t="shared" ref="X58:X66" si="47">X34/X$49</f>
        <v>1.7996655795021688E-7</v>
      </c>
      <c r="Y58" s="173">
        <f>X58*$AH71</f>
        <v>1.8228189849602606E-7</v>
      </c>
      <c r="Z58" s="173">
        <f t="shared" ref="Z58:AG58" si="48">Y58*$AH71</f>
        <v>1.8462702680854103E-7</v>
      </c>
      <c r="AA58" s="173">
        <f t="shared" si="48"/>
        <v>1.8700232611909552E-7</v>
      </c>
      <c r="AB58" s="173">
        <f t="shared" si="48"/>
        <v>1.8940818458944502E-7</v>
      </c>
      <c r="AC58" s="173">
        <f t="shared" si="48"/>
        <v>1.9184499537519869E-7</v>
      </c>
      <c r="AD58" s="173">
        <f t="shared" si="48"/>
        <v>1.9431315669006722E-7</v>
      </c>
      <c r="AE58" s="173">
        <f t="shared" si="48"/>
        <v>1.968130718709373E-7</v>
      </c>
      <c r="AF58" s="173">
        <f t="shared" si="48"/>
        <v>1.993451494437833E-7</v>
      </c>
      <c r="AG58" s="173">
        <f t="shared" si="48"/>
        <v>2.0190980319042692E-7</v>
      </c>
      <c r="AH58" s="178">
        <f t="shared" ref="AH58:AH66" si="49">AH34/AH$49</f>
        <v>2.0450745221615557E-7</v>
      </c>
      <c r="AI58" s="127"/>
    </row>
    <row r="59" spans="1:35">
      <c r="A59" s="9" t="s">
        <v>50</v>
      </c>
      <c r="B59" s="37"/>
      <c r="C59" s="336">
        <f t="shared" ref="C59:C65" si="50">C35/C$49</f>
        <v>0</v>
      </c>
      <c r="D59" s="336">
        <f t="shared" si="44"/>
        <v>0</v>
      </c>
      <c r="E59" s="336">
        <f t="shared" si="44"/>
        <v>0</v>
      </c>
      <c r="F59" s="336">
        <f t="shared" si="44"/>
        <v>0</v>
      </c>
      <c r="G59" s="336">
        <f t="shared" si="44"/>
        <v>0</v>
      </c>
      <c r="H59" s="396">
        <f>H35/H$49</f>
        <v>5.4845448013222875E-8</v>
      </c>
      <c r="I59" s="116">
        <f t="shared" si="45"/>
        <v>6.8633797782834119E-8</v>
      </c>
      <c r="J59" s="116">
        <f t="shared" si="45"/>
        <v>8.588859000585193E-8</v>
      </c>
      <c r="K59" s="116">
        <f t="shared" si="45"/>
        <v>1.0748130121743517E-7</v>
      </c>
      <c r="L59" s="116">
        <f t="shared" si="45"/>
        <v>1.345025003973861E-7</v>
      </c>
      <c r="M59" s="116">
        <f t="shared" si="45"/>
        <v>1.6831692962621309E-7</v>
      </c>
      <c r="N59" s="178">
        <f t="shared" si="45"/>
        <v>2.106324322231421E-7</v>
      </c>
      <c r="O59" s="116">
        <f t="shared" ref="O59:V59" si="51">N59*$X72</f>
        <v>2.1264957114582407E-7</v>
      </c>
      <c r="P59" s="116">
        <f t="shared" si="51"/>
        <v>2.1468602736637157E-7</v>
      </c>
      <c r="Q59" s="116">
        <f t="shared" si="51"/>
        <v>2.1674198587848666E-7</v>
      </c>
      <c r="R59" s="116">
        <f t="shared" si="51"/>
        <v>2.1881763344747886E-7</v>
      </c>
      <c r="S59" s="116">
        <f t="shared" si="51"/>
        <v>2.2091315862723116E-7</v>
      </c>
      <c r="T59" s="116">
        <f t="shared" si="51"/>
        <v>2.2302875177732841E-7</v>
      </c>
      <c r="U59" s="116">
        <f t="shared" si="51"/>
        <v>2.2516460508034977E-7</v>
      </c>
      <c r="V59" s="116">
        <f t="shared" si="51"/>
        <v>2.2732091255932682E-7</v>
      </c>
      <c r="W59" s="116">
        <f>V59*$X72</f>
        <v>2.294978700953687E-7</v>
      </c>
      <c r="X59" s="178">
        <f t="shared" si="47"/>
        <v>2.3169567544545645E-7</v>
      </c>
      <c r="Y59" s="173">
        <f>X59*$AH72</f>
        <v>2.3467653143202203E-7</v>
      </c>
      <c r="Z59" s="173">
        <f t="shared" ref="Z59:AG59" si="52">Y59*$AH72</f>
        <v>2.3769573730317465E-7</v>
      </c>
      <c r="AA59" s="173">
        <f t="shared" si="52"/>
        <v>2.4075378644526183E-7</v>
      </c>
      <c r="AB59" s="173">
        <f t="shared" si="52"/>
        <v>2.4385117859224055E-7</v>
      </c>
      <c r="AC59" s="173">
        <f t="shared" si="52"/>
        <v>2.4698841990734169E-7</v>
      </c>
      <c r="AD59" s="173">
        <f t="shared" si="52"/>
        <v>2.5016602306578518E-7</v>
      </c>
      <c r="AE59" s="173">
        <f t="shared" si="52"/>
        <v>2.5338450733855918E-7</v>
      </c>
      <c r="AF59" s="173">
        <f t="shared" si="52"/>
        <v>2.566443986772774E-7</v>
      </c>
      <c r="AG59" s="173">
        <f t="shared" si="52"/>
        <v>2.5994622980012794E-7</v>
      </c>
      <c r="AH59" s="178">
        <f t="shared" si="49"/>
        <v>2.6329054027892776E-7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0</v>
      </c>
      <c r="D61" s="336">
        <f t="shared" ref="D61:M61" si="56">C61*($N74)</f>
        <v>0</v>
      </c>
      <c r="E61" s="336">
        <f t="shared" si="56"/>
        <v>0</v>
      </c>
      <c r="F61" s="336">
        <f t="shared" si="56"/>
        <v>0</v>
      </c>
      <c r="G61" s="336">
        <f t="shared" si="56"/>
        <v>0</v>
      </c>
      <c r="H61" s="396">
        <f t="shared" si="53"/>
        <v>1.7996307792855122E-8</v>
      </c>
      <c r="I61" s="116">
        <f t="shared" si="56"/>
        <v>2.0616921531209387E-8</v>
      </c>
      <c r="J61" s="116">
        <f t="shared" si="56"/>
        <v>2.3619147789459412E-8</v>
      </c>
      <c r="K61" s="116">
        <f t="shared" si="56"/>
        <v>2.705855680033726E-8</v>
      </c>
      <c r="L61" s="116">
        <f t="shared" si="56"/>
        <v>3.0998810907302231E-8</v>
      </c>
      <c r="M61" s="116">
        <f t="shared" si="56"/>
        <v>3.5512842933836835E-8</v>
      </c>
      <c r="N61" s="178">
        <f>M61*($N74)</f>
        <v>4.0684206146316387E-8</v>
      </c>
      <c r="O61" s="116">
        <f t="shared" ref="O61:W61" si="57">N61*$X74</f>
        <v>4.1073821814188524E-8</v>
      </c>
      <c r="P61" s="116">
        <f t="shared" si="57"/>
        <v>4.1467168668755207E-8</v>
      </c>
      <c r="Q61" s="116">
        <f t="shared" si="57"/>
        <v>4.1864282442034679E-8</v>
      </c>
      <c r="R61" s="116">
        <f t="shared" si="57"/>
        <v>4.22651992082358E-8</v>
      </c>
      <c r="S61" s="116">
        <f t="shared" si="57"/>
        <v>4.2669955387035089E-8</v>
      </c>
      <c r="T61" s="116">
        <f t="shared" si="57"/>
        <v>4.3078587746885107E-8</v>
      </c>
      <c r="U61" s="116">
        <f t="shared" si="57"/>
        <v>4.3491133408354546E-8</v>
      </c>
      <c r="V61" s="116">
        <f t="shared" si="57"/>
        <v>4.3907629847500287E-8</v>
      </c>
      <c r="W61" s="116">
        <f t="shared" si="57"/>
        <v>4.4328114899271787E-8</v>
      </c>
      <c r="X61" s="178">
        <f t="shared" si="47"/>
        <v>4.4752626760948006E-8</v>
      </c>
      <c r="Y61" s="173">
        <f t="shared" si="55"/>
        <v>4.5328386904672882E-8</v>
      </c>
      <c r="Z61" s="173">
        <f t="shared" si="55"/>
        <v>4.5911554429083424E-8</v>
      </c>
      <c r="AA61" s="173">
        <f t="shared" si="55"/>
        <v>4.6502224633045353E-8</v>
      </c>
      <c r="AB61" s="173">
        <f t="shared" si="55"/>
        <v>4.7100494041481781E-8</v>
      </c>
      <c r="AC61" s="173">
        <f t="shared" si="55"/>
        <v>4.7706460421146904E-8</v>
      </c>
      <c r="AD61" s="173">
        <f t="shared" si="55"/>
        <v>4.8320222796602667E-8</v>
      </c>
      <c r="AE61" s="173">
        <f t="shared" si="55"/>
        <v>4.8941881466400945E-8</v>
      </c>
      <c r="AF61" s="173">
        <f t="shared" si="55"/>
        <v>4.9571538019473936E-8</v>
      </c>
      <c r="AG61" s="173">
        <f t="shared" si="55"/>
        <v>5.0209295351735402E-8</v>
      </c>
      <c r="AH61" s="178">
        <f t="shared" si="49"/>
        <v>5.0855257682895459E-8</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4.1661278240086772E-7</v>
      </c>
      <c r="I62" s="116">
        <f t="shared" si="58"/>
        <v>4.6027370792909009E-7</v>
      </c>
      <c r="J62" s="116">
        <f t="shared" si="58"/>
        <v>5.0851028859442901E-7</v>
      </c>
      <c r="K62" s="116">
        <f t="shared" si="58"/>
        <v>5.6180205202211295E-7</v>
      </c>
      <c r="L62" s="116">
        <f t="shared" si="58"/>
        <v>6.2067878022422121E-7</v>
      </c>
      <c r="M62" s="116">
        <f t="shared" si="58"/>
        <v>6.8572577624807908E-7</v>
      </c>
      <c r="N62" s="178">
        <f t="shared" si="58"/>
        <v>7.5758968276821537E-7</v>
      </c>
      <c r="O62" s="116">
        <f t="shared" ref="O62:W62" si="59">N62*$X75</f>
        <v>7.6484480307616072E-7</v>
      </c>
      <c r="P62" s="116">
        <f t="shared" si="59"/>
        <v>7.7216940264429144E-7</v>
      </c>
      <c r="Q62" s="116">
        <f t="shared" si="59"/>
        <v>7.795641468464939E-7</v>
      </c>
      <c r="R62" s="116">
        <f t="shared" si="59"/>
        <v>7.8702970742866265E-7</v>
      </c>
      <c r="S62" s="116">
        <f t="shared" si="59"/>
        <v>7.9456676256972241E-7</v>
      </c>
      <c r="T62" s="116">
        <f t="shared" si="59"/>
        <v>8.0217599694323448E-7</v>
      </c>
      <c r="U62" s="116">
        <f t="shared" si="59"/>
        <v>8.0985810177959326E-7</v>
      </c>
      <c r="V62" s="116">
        <f t="shared" si="59"/>
        <v>8.1761377492881811E-7</v>
      </c>
      <c r="W62" s="116">
        <f t="shared" si="59"/>
        <v>8.2544372092394699E-7</v>
      </c>
      <c r="X62" s="178">
        <f t="shared" si="47"/>
        <v>8.3334865104503718E-7</v>
      </c>
      <c r="Y62" s="173">
        <f t="shared" si="55"/>
        <v>8.4407000918255121E-7</v>
      </c>
      <c r="Z62" s="173">
        <f t="shared" si="55"/>
        <v>8.5492930180903182E-7</v>
      </c>
      <c r="AA62" s="173">
        <f t="shared" si="55"/>
        <v>8.6592830350592675E-7</v>
      </c>
      <c r="AB62" s="173">
        <f t="shared" si="55"/>
        <v>8.7706881168537214E-7</v>
      </c>
      <c r="AC62" s="173">
        <f t="shared" si="55"/>
        <v>8.8835264688391806E-7</v>
      </c>
      <c r="AD62" s="173">
        <f t="shared" si="55"/>
        <v>8.9978165306003334E-7</v>
      </c>
      <c r="AE62" s="173">
        <f t="shared" si="55"/>
        <v>9.1135769789543764E-7</v>
      </c>
      <c r="AF62" s="173">
        <f t="shared" si="55"/>
        <v>9.2308267310031055E-7</v>
      </c>
      <c r="AG62" s="173">
        <f t="shared" si="55"/>
        <v>9.3495849472242703E-7</v>
      </c>
      <c r="AH62" s="178">
        <f t="shared" si="49"/>
        <v>9.4698710346026956E-7</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2.0830639120043386E-7</v>
      </c>
      <c r="I63" s="116">
        <f t="shared" si="60"/>
        <v>2.3013685396454504E-7</v>
      </c>
      <c r="J63" s="116">
        <f t="shared" si="60"/>
        <v>2.5425514429721451E-7</v>
      </c>
      <c r="K63" s="116">
        <f t="shared" si="60"/>
        <v>2.8090102601105648E-7</v>
      </c>
      <c r="L63" s="116">
        <f t="shared" si="60"/>
        <v>3.103393901121106E-7</v>
      </c>
      <c r="M63" s="116">
        <f t="shared" si="60"/>
        <v>3.4286288812403954E-7</v>
      </c>
      <c r="N63" s="178">
        <f t="shared" si="60"/>
        <v>3.7879484138410769E-7</v>
      </c>
      <c r="O63" s="116">
        <f t="shared" ref="O63:W63" si="61">N63*$X76</f>
        <v>3.8242240153808036E-7</v>
      </c>
      <c r="P63" s="116">
        <f t="shared" si="61"/>
        <v>3.8608470132214572E-7</v>
      </c>
      <c r="Q63" s="116">
        <f t="shared" si="61"/>
        <v>3.8978207342324695E-7</v>
      </c>
      <c r="R63" s="116">
        <f t="shared" si="61"/>
        <v>3.9351485371433132E-7</v>
      </c>
      <c r="S63" s="116">
        <f t="shared" si="61"/>
        <v>3.9728338128486121E-7</v>
      </c>
      <c r="T63" s="116">
        <f t="shared" si="61"/>
        <v>4.0108799847161724E-7</v>
      </c>
      <c r="U63" s="116">
        <f t="shared" si="61"/>
        <v>4.0492905088979663E-7</v>
      </c>
      <c r="V63" s="116">
        <f t="shared" si="61"/>
        <v>4.0880688746440906E-7</v>
      </c>
      <c r="W63" s="116">
        <f t="shared" si="61"/>
        <v>4.1272186046197349E-7</v>
      </c>
      <c r="X63" s="178">
        <f t="shared" si="47"/>
        <v>4.1667432552251859E-7</v>
      </c>
      <c r="Y63" s="173">
        <f t="shared" si="55"/>
        <v>4.2203500459127561E-7</v>
      </c>
      <c r="Z63" s="173">
        <f t="shared" si="55"/>
        <v>4.2746465090451591E-7</v>
      </c>
      <c r="AA63" s="173">
        <f t="shared" si="55"/>
        <v>4.3296415175296338E-7</v>
      </c>
      <c r="AB63" s="173">
        <f t="shared" si="55"/>
        <v>4.3853440584268607E-7</v>
      </c>
      <c r="AC63" s="173">
        <f t="shared" si="55"/>
        <v>4.4417632344195903E-7</v>
      </c>
      <c r="AD63" s="173">
        <f t="shared" si="55"/>
        <v>4.4989082653001667E-7</v>
      </c>
      <c r="AE63" s="173">
        <f t="shared" si="55"/>
        <v>4.5567884894771882E-7</v>
      </c>
      <c r="AF63" s="173">
        <f t="shared" si="55"/>
        <v>4.6154133655015528E-7</v>
      </c>
      <c r="AG63" s="173">
        <f t="shared" si="55"/>
        <v>4.6747924736121352E-7</v>
      </c>
      <c r="AH63" s="178">
        <f t="shared" si="49"/>
        <v>4.7349355173013478E-7</v>
      </c>
      <c r="AI63" s="127"/>
    </row>
    <row r="64" spans="1:35">
      <c r="A64" s="9" t="s">
        <v>344</v>
      </c>
      <c r="B64" s="37"/>
      <c r="C64" s="336">
        <f t="shared" si="50"/>
        <v>2.186031260247022E-7</v>
      </c>
      <c r="D64" s="336">
        <f t="shared" ref="D64:N64" si="62">C64*($N77)</f>
        <v>2.4151268427348734E-7</v>
      </c>
      <c r="E64" s="336">
        <f t="shared" si="62"/>
        <v>2.6682315905397466E-7</v>
      </c>
      <c r="F64" s="336">
        <f t="shared" si="62"/>
        <v>2.9478616587658134E-7</v>
      </c>
      <c r="G64" s="336">
        <f t="shared" si="62"/>
        <v>3.256796895004038E-7</v>
      </c>
      <c r="H64" s="396">
        <f t="shared" si="53"/>
        <v>2.0830639120043386E-7</v>
      </c>
      <c r="I64" s="116">
        <f t="shared" si="62"/>
        <v>2.3013685396454504E-7</v>
      </c>
      <c r="J64" s="116">
        <f t="shared" si="62"/>
        <v>2.5425514429721451E-7</v>
      </c>
      <c r="K64" s="116">
        <f t="shared" si="62"/>
        <v>2.8090102601105648E-7</v>
      </c>
      <c r="L64" s="116">
        <f t="shared" si="62"/>
        <v>3.103393901121106E-7</v>
      </c>
      <c r="M64" s="116">
        <f t="shared" si="62"/>
        <v>3.4286288812403954E-7</v>
      </c>
      <c r="N64" s="178">
        <f t="shared" si="62"/>
        <v>3.7879484138410769E-7</v>
      </c>
      <c r="O64" s="116">
        <f t="shared" ref="O64:W64" si="63">N64*$X77</f>
        <v>3.8242240153808036E-7</v>
      </c>
      <c r="P64" s="116">
        <f t="shared" si="63"/>
        <v>3.8608470132214572E-7</v>
      </c>
      <c r="Q64" s="116">
        <f t="shared" si="63"/>
        <v>3.8978207342324695E-7</v>
      </c>
      <c r="R64" s="116">
        <f t="shared" si="63"/>
        <v>3.9351485371433132E-7</v>
      </c>
      <c r="S64" s="116">
        <f t="shared" si="63"/>
        <v>3.9728338128486121E-7</v>
      </c>
      <c r="T64" s="116">
        <f t="shared" si="63"/>
        <v>4.0108799847161724E-7</v>
      </c>
      <c r="U64" s="116">
        <f t="shared" si="63"/>
        <v>4.0492905088979663E-7</v>
      </c>
      <c r="V64" s="116">
        <f t="shared" si="63"/>
        <v>4.0880688746440906E-7</v>
      </c>
      <c r="W64" s="116">
        <f t="shared" si="63"/>
        <v>4.1272186046197349E-7</v>
      </c>
      <c r="X64" s="178">
        <f t="shared" si="47"/>
        <v>4.1667432552251859E-7</v>
      </c>
      <c r="Y64" s="173">
        <f t="shared" si="55"/>
        <v>4.2203500459127561E-7</v>
      </c>
      <c r="Z64" s="173">
        <f t="shared" si="55"/>
        <v>4.2746465090451591E-7</v>
      </c>
      <c r="AA64" s="173">
        <f t="shared" si="55"/>
        <v>4.3296415175296338E-7</v>
      </c>
      <c r="AB64" s="173">
        <f t="shared" si="55"/>
        <v>4.3853440584268607E-7</v>
      </c>
      <c r="AC64" s="173">
        <f t="shared" si="55"/>
        <v>4.4417632344195903E-7</v>
      </c>
      <c r="AD64" s="173">
        <f t="shared" si="55"/>
        <v>4.4989082653001667E-7</v>
      </c>
      <c r="AE64" s="173">
        <f t="shared" si="55"/>
        <v>4.5567884894771882E-7</v>
      </c>
      <c r="AF64" s="173">
        <f t="shared" si="55"/>
        <v>4.6154133655015528E-7</v>
      </c>
      <c r="AG64" s="173">
        <f t="shared" si="55"/>
        <v>4.6747924736121352E-7</v>
      </c>
      <c r="AH64" s="178">
        <f t="shared" si="49"/>
        <v>4.7349355173013478E-7</v>
      </c>
      <c r="AI64" s="127"/>
    </row>
    <row r="65" spans="1:35">
      <c r="A65" s="9" t="s">
        <v>120</v>
      </c>
      <c r="B65" s="37"/>
      <c r="C65" s="336">
        <f t="shared" si="50"/>
        <v>0</v>
      </c>
      <c r="D65" s="336">
        <v>0</v>
      </c>
      <c r="E65" s="336">
        <v>0</v>
      </c>
      <c r="F65" s="336">
        <v>0</v>
      </c>
      <c r="G65" s="336">
        <v>0</v>
      </c>
      <c r="H65" s="396">
        <f t="shared" si="53"/>
        <v>2.0830639120043386E-5</v>
      </c>
      <c r="I65" s="173">
        <v>0</v>
      </c>
      <c r="J65" s="173">
        <v>0</v>
      </c>
      <c r="K65" s="173">
        <v>0</v>
      </c>
      <c r="L65" s="173">
        <v>0</v>
      </c>
      <c r="M65" s="173">
        <v>0</v>
      </c>
      <c r="N65" s="178">
        <v>0</v>
      </c>
      <c r="O65" s="116">
        <f t="shared" ref="O65:AG65" si="64">O41/O$49</f>
        <v>1.5400586945482546E-4</v>
      </c>
      <c r="P65" s="116">
        <f t="shared" si="64"/>
        <v>1.7503218023420775E-4</v>
      </c>
      <c r="Q65" s="116">
        <f t="shared" si="64"/>
        <v>1.9431994850110975E-4</v>
      </c>
      <c r="R65" s="116">
        <f t="shared" si="64"/>
        <v>2.1372075377505673E-4</v>
      </c>
      <c r="S65" s="116">
        <f t="shared" si="64"/>
        <v>2.3295115889610272E-4</v>
      </c>
      <c r="T65" s="116">
        <f t="shared" si="64"/>
        <v>2.5288987411987578E-4</v>
      </c>
      <c r="U65" s="116">
        <f t="shared" si="64"/>
        <v>2.7256185071746874E-4</v>
      </c>
      <c r="V65" s="116">
        <f t="shared" si="64"/>
        <v>2.9230304732884245E-4</v>
      </c>
      <c r="W65" s="116">
        <f t="shared" si="64"/>
        <v>3.1185015741952188E-4</v>
      </c>
      <c r="X65" s="178">
        <f t="shared" si="47"/>
        <v>3.3147554796799928E-4</v>
      </c>
      <c r="Y65" s="173">
        <f t="shared" si="64"/>
        <v>3.5128026558028431E-4</v>
      </c>
      <c r="Z65" s="173">
        <f t="shared" si="64"/>
        <v>3.7173469840755643E-4</v>
      </c>
      <c r="AA65" s="173">
        <f t="shared" si="64"/>
        <v>3.915556736567617E-4</v>
      </c>
      <c r="AB65" s="173">
        <f t="shared" si="64"/>
        <v>4.1120958198355282E-4</v>
      </c>
      <c r="AC65" s="173">
        <f t="shared" si="64"/>
        <v>4.3083363444973747E-4</v>
      </c>
      <c r="AD65" s="173">
        <f t="shared" si="64"/>
        <v>4.4678631856720421E-4</v>
      </c>
      <c r="AE65" s="173">
        <f t="shared" si="64"/>
        <v>4.6211367077743717E-4</v>
      </c>
      <c r="AF65" s="173">
        <f t="shared" si="64"/>
        <v>4.8044858801041745E-4</v>
      </c>
      <c r="AG65" s="173">
        <f t="shared" si="64"/>
        <v>4.993600900094475E-4</v>
      </c>
      <c r="AH65" s="178">
        <f t="shared" si="49"/>
        <v>5.1800002041949998E-4</v>
      </c>
      <c r="AI65" s="127"/>
    </row>
    <row r="66" spans="1:35">
      <c r="A66" s="9" t="s">
        <v>53</v>
      </c>
      <c r="B66" s="37"/>
      <c r="C66" s="336">
        <f>C42/C$49</f>
        <v>4.8661055853098704E-2</v>
      </c>
      <c r="D66" s="336">
        <f t="shared" ref="D66:N66" si="65">C66*($N79)</f>
        <v>5.4703604528206141E-2</v>
      </c>
      <c r="E66" s="336">
        <f t="shared" si="65"/>
        <v>6.1496494391989565E-2</v>
      </c>
      <c r="F66" s="336">
        <f t="shared" si="65"/>
        <v>6.9132900018572488E-2</v>
      </c>
      <c r="G66" s="336">
        <f t="shared" si="65"/>
        <v>7.7717566053659329E-2</v>
      </c>
      <c r="H66" s="396">
        <f t="shared" si="53"/>
        <v>9.9087600142407695E-2</v>
      </c>
      <c r="I66" s="116">
        <f t="shared" si="65"/>
        <v>0.11139192927097415</v>
      </c>
      <c r="J66" s="116">
        <f t="shared" si="65"/>
        <v>0.12522416416258766</v>
      </c>
      <c r="K66" s="116">
        <f t="shared" si="65"/>
        <v>0.14077403446413592</v>
      </c>
      <c r="L66" s="116">
        <f t="shared" si="65"/>
        <v>0.15825482974339877</v>
      </c>
      <c r="M66" s="116">
        <f t="shared" si="65"/>
        <v>0.17790632507227444</v>
      </c>
      <c r="N66" s="178">
        <f t="shared" si="65"/>
        <v>0.19999806989803431</v>
      </c>
      <c r="O66" s="116">
        <f t="shared" ref="O66:W66" si="66">N66*$X79</f>
        <v>0.20191336796963047</v>
      </c>
      <c r="P66" s="116">
        <f t="shared" si="66"/>
        <v>0.20384700805175168</v>
      </c>
      <c r="Q66" s="116">
        <f t="shared" si="66"/>
        <v>0.20579916579818003</v>
      </c>
      <c r="R66" s="116">
        <f t="shared" si="66"/>
        <v>0.2077700185448606</v>
      </c>
      <c r="S66" s="116">
        <f t="shared" si="66"/>
        <v>0.2097597453260108</v>
      </c>
      <c r="T66" s="116">
        <f t="shared" si="66"/>
        <v>0.21176852689038408</v>
      </c>
      <c r="U66" s="116">
        <f t="shared" si="66"/>
        <v>0.21379654571768927</v>
      </c>
      <c r="V66" s="116">
        <f t="shared" si="66"/>
        <v>0.21584398603516722</v>
      </c>
      <c r="W66" s="116">
        <f t="shared" si="66"/>
        <v>0.21791103383432625</v>
      </c>
      <c r="X66" s="178">
        <f t="shared" si="47"/>
        <v>0.21999787688783776</v>
      </c>
      <c r="Y66" s="173">
        <f t="shared" si="55"/>
        <v>0.2228282360954148</v>
      </c>
      <c r="Z66" s="173">
        <f t="shared" si="55"/>
        <v>0.22569500898732936</v>
      </c>
      <c r="AA66" s="173">
        <f t="shared" si="55"/>
        <v>0.22859866403995133</v>
      </c>
      <c r="AB66" s="173">
        <f t="shared" si="55"/>
        <v>0.2315396757567833</v>
      </c>
      <c r="AC66" s="173">
        <f t="shared" si="55"/>
        <v>0.2345185247460021</v>
      </c>
      <c r="AD66" s="173">
        <f t="shared" si="55"/>
        <v>0.23753569779899772</v>
      </c>
      <c r="AE66" s="173">
        <f t="shared" si="55"/>
        <v>0.24059168796992286</v>
      </c>
      <c r="AF66" s="173">
        <f t="shared" si="55"/>
        <v>0.24368699465626581</v>
      </c>
      <c r="AG66" s="173">
        <f t="shared" si="55"/>
        <v>0.24682212368045992</v>
      </c>
      <c r="AH66" s="178">
        <f t="shared" si="49"/>
        <v>0.24999758737254291</v>
      </c>
      <c r="AI66" s="127"/>
    </row>
    <row r="67" spans="1:35" s="1" customFormat="1">
      <c r="A67" s="11" t="s">
        <v>541</v>
      </c>
      <c r="B67" s="36"/>
      <c r="C67" s="340">
        <f t="shared" ref="C67:AG67" si="67">SUM(C58:C66)</f>
        <v>4.8661274456224729E-2</v>
      </c>
      <c r="D67" s="340">
        <f t="shared" si="67"/>
        <v>5.4703846040890416E-2</v>
      </c>
      <c r="E67" s="340">
        <f t="shared" si="67"/>
        <v>6.1496761215148618E-2</v>
      </c>
      <c r="F67" s="340">
        <f t="shared" si="67"/>
        <v>6.9133194804738368E-2</v>
      </c>
      <c r="G67" s="340">
        <f t="shared" si="67"/>
        <v>7.7717891733348823E-2</v>
      </c>
      <c r="H67" s="403">
        <f t="shared" si="67"/>
        <v>9.9109392017921169E-2</v>
      </c>
      <c r="I67" s="85">
        <f t="shared" si="67"/>
        <v>0.11139300519622679</v>
      </c>
      <c r="J67" s="85">
        <f t="shared" si="67"/>
        <v>0.12522536995262376</v>
      </c>
      <c r="K67" s="85">
        <f t="shared" si="67"/>
        <v>0.14077538761330424</v>
      </c>
      <c r="L67" s="85">
        <f t="shared" si="67"/>
        <v>0.15825635047803668</v>
      </c>
      <c r="M67" s="85">
        <f t="shared" si="67"/>
        <v>0.17790803684812043</v>
      </c>
      <c r="N67" s="183">
        <f>SUM(N58:N66)</f>
        <v>0.19999999999999998</v>
      </c>
      <c r="O67" s="85">
        <f t="shared" si="67"/>
        <v>0.20206932242483222</v>
      </c>
      <c r="P67" s="85">
        <f t="shared" si="67"/>
        <v>0.2040240074785255</v>
      </c>
      <c r="Q67" s="85">
        <f t="shared" si="67"/>
        <v>0.2059954718327201</v>
      </c>
      <c r="R67" s="85">
        <f t="shared" si="67"/>
        <v>0.20798574440459197</v>
      </c>
      <c r="S67" s="85">
        <f t="shared" si="67"/>
        <v>0.20999472079292639</v>
      </c>
      <c r="T67" s="85">
        <f t="shared" si="67"/>
        <v>0.21202346045847675</v>
      </c>
      <c r="U67" s="85">
        <f t="shared" si="67"/>
        <v>0.21407117083398403</v>
      </c>
      <c r="V67" s="85">
        <f t="shared" si="67"/>
        <v>0.21613837210710693</v>
      </c>
      <c r="W67" s="85">
        <f t="shared" si="67"/>
        <v>0.21822498696461426</v>
      </c>
      <c r="X67" s="183">
        <f t="shared" si="67"/>
        <v>0.220331475547968</v>
      </c>
      <c r="Y67" s="85">
        <f t="shared" si="67"/>
        <v>0.22318166678783027</v>
      </c>
      <c r="Z67" s="85">
        <f t="shared" si="67"/>
        <v>0.22606892177865909</v>
      </c>
      <c r="AA67" s="85">
        <f t="shared" si="67"/>
        <v>0.22899242582855231</v>
      </c>
      <c r="AB67" s="85">
        <f t="shared" si="67"/>
        <v>0.23195311983624745</v>
      </c>
      <c r="AC67" s="85">
        <f t="shared" si="67"/>
        <v>0.2349516216256213</v>
      </c>
      <c r="AD67" s="85">
        <f t="shared" si="67"/>
        <v>0.23798477648027361</v>
      </c>
      <c r="AE67" s="85">
        <f t="shared" si="67"/>
        <v>0.24105612349555677</v>
      </c>
      <c r="AF67" s="85">
        <f t="shared" si="67"/>
        <v>0.24416979497070856</v>
      </c>
      <c r="AG67" s="85">
        <f t="shared" si="67"/>
        <v>0.24732386575278714</v>
      </c>
      <c r="AH67" s="183">
        <f>SUM(AH58:AH66)</f>
        <v>0.25051800002041952</v>
      </c>
      <c r="AI67" s="196"/>
    </row>
    <row r="68" spans="1:35" s="252" customFormat="1">
      <c r="A68" s="10" t="s">
        <v>549</v>
      </c>
      <c r="B68" s="37"/>
      <c r="C68" s="332"/>
      <c r="D68" s="332">
        <f>D67/C67-1</f>
        <v>0.12417618840011135</v>
      </c>
      <c r="E68" s="332">
        <f t="shared" ref="E68:W68" si="68">E67/D67-1</f>
        <v>0.12417618990044299</v>
      </c>
      <c r="F68" s="332">
        <f t="shared" si="68"/>
        <v>0.12417619137491509</v>
      </c>
      <c r="G68" s="332">
        <f t="shared" si="68"/>
        <v>0.12417619282397263</v>
      </c>
      <c r="H68" s="284"/>
      <c r="I68" s="284">
        <f t="shared" si="68"/>
        <v>0.12393995087856524</v>
      </c>
      <c r="J68" s="284">
        <f t="shared" si="68"/>
        <v>0.12417624187470544</v>
      </c>
      <c r="K68" s="284">
        <f t="shared" si="68"/>
        <v>0.12417625650907227</v>
      </c>
      <c r="L68" s="284">
        <f t="shared" si="68"/>
        <v>0.12417627229520312</v>
      </c>
      <c r="M68" s="284">
        <f t="shared" si="68"/>
        <v>0.12417628936041369</v>
      </c>
      <c r="N68" s="283">
        <f t="shared" si="68"/>
        <v>0.12417630784571809</v>
      </c>
      <c r="O68" s="284">
        <f t="shared" si="68"/>
        <v>1.0346612124161103E-2</v>
      </c>
      <c r="P68" s="284">
        <f t="shared" si="68"/>
        <v>9.6733389820733429E-3</v>
      </c>
      <c r="Q68" s="284">
        <f t="shared" si="68"/>
        <v>9.6629037854876199E-3</v>
      </c>
      <c r="R68" s="284">
        <f t="shared" si="68"/>
        <v>9.661729717476808E-3</v>
      </c>
      <c r="S68" s="284">
        <f t="shared" si="68"/>
        <v>9.6592023366099955E-3</v>
      </c>
      <c r="T68" s="284">
        <f t="shared" si="68"/>
        <v>9.6609079403995324E-3</v>
      </c>
      <c r="U68" s="284">
        <f t="shared" si="68"/>
        <v>9.6579424327822849E-3</v>
      </c>
      <c r="V68" s="284">
        <f t="shared" si="68"/>
        <v>9.6566074967938675E-3</v>
      </c>
      <c r="W68" s="284">
        <f t="shared" si="68"/>
        <v>9.6540694609901223E-3</v>
      </c>
      <c r="X68" s="284">
        <f>X67/W67-1</f>
        <v>9.6528294612536758E-3</v>
      </c>
      <c r="Y68" s="289">
        <f t="shared" ref="Y68:AG68" si="69">Y67/X67-1</f>
        <v>1.2935924078817163E-2</v>
      </c>
      <c r="Z68" s="289">
        <f t="shared" si="69"/>
        <v>1.2936792848552425E-2</v>
      </c>
      <c r="AA68" s="289">
        <f t="shared" si="69"/>
        <v>1.2931914864244831E-2</v>
      </c>
      <c r="AB68" s="289">
        <f t="shared" si="69"/>
        <v>1.292922242725969E-2</v>
      </c>
      <c r="AC68" s="289">
        <f t="shared" si="69"/>
        <v>1.2927188871142192E-2</v>
      </c>
      <c r="AD68" s="289">
        <f t="shared" si="69"/>
        <v>1.290969959545718E-2</v>
      </c>
      <c r="AE68" s="289">
        <f t="shared" si="69"/>
        <v>1.2905644893373092E-2</v>
      </c>
      <c r="AF68" s="289">
        <f t="shared" si="69"/>
        <v>1.2916790621206431E-2</v>
      </c>
      <c r="AG68" s="289">
        <f t="shared" si="69"/>
        <v>1.2917530534261923E-2</v>
      </c>
      <c r="AH68" s="283">
        <f>AH67/AG67-1</f>
        <v>1.2914783851976086E-2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1.1986265870588384</v>
      </c>
      <c r="O71" s="164"/>
      <c r="P71" s="164"/>
      <c r="Q71" s="164"/>
      <c r="R71" s="164"/>
      <c r="S71" s="164"/>
      <c r="T71" s="164"/>
      <c r="U71" s="164"/>
      <c r="V71" s="164"/>
      <c r="W71" s="164"/>
      <c r="X71" s="186">
        <f>(X86/N86)^(1/10)</f>
        <v>1.009576582776887</v>
      </c>
      <c r="Y71" s="20"/>
      <c r="Z71" s="20"/>
      <c r="AA71" s="20"/>
      <c r="AB71" s="20"/>
      <c r="AC71" s="20"/>
      <c r="AD71" s="20"/>
      <c r="AE71" s="20"/>
      <c r="AF71" s="20"/>
      <c r="AG71" s="20"/>
      <c r="AH71" s="186">
        <f>(AH86/X86)^(1/10)</f>
        <v>1.0128653932829546</v>
      </c>
      <c r="AI71" s="127"/>
    </row>
    <row r="72" spans="1:35">
      <c r="A72" s="9" t="s">
        <v>50</v>
      </c>
      <c r="B72" s="37"/>
      <c r="C72" s="332"/>
      <c r="D72" s="332"/>
      <c r="E72" s="332"/>
      <c r="F72" s="332"/>
      <c r="G72" s="332"/>
      <c r="H72" s="284"/>
      <c r="I72" s="164"/>
      <c r="J72" s="164"/>
      <c r="K72" s="395"/>
      <c r="L72" s="395"/>
      <c r="M72" s="164"/>
      <c r="N72" s="186">
        <f>(N87/H87)^(1/6)</f>
        <v>1.2514037220789402</v>
      </c>
      <c r="O72" s="164"/>
      <c r="P72" s="164"/>
      <c r="Q72" s="164"/>
      <c r="R72" s="164"/>
      <c r="S72" s="164"/>
      <c r="T72" s="164"/>
      <c r="U72" s="164"/>
      <c r="V72" s="164"/>
      <c r="W72" s="164"/>
      <c r="X72" s="186">
        <f>(X87/N87)^(1/10)</f>
        <v>1.009576582776887</v>
      </c>
      <c r="Y72" s="20"/>
      <c r="Z72" s="20"/>
      <c r="AA72" s="20"/>
      <c r="AB72" s="20"/>
      <c r="AC72" s="20"/>
      <c r="AD72" s="20"/>
      <c r="AE72" s="20"/>
      <c r="AF72" s="20"/>
      <c r="AG72" s="20"/>
      <c r="AH72" s="186">
        <f>(AH87/X87)^(1/10)</f>
        <v>1.0128653932829546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1.1456195219885437</v>
      </c>
      <c r="O74" s="164"/>
      <c r="P74" s="164"/>
      <c r="Q74" s="164"/>
      <c r="R74" s="164"/>
      <c r="S74" s="164"/>
      <c r="T74" s="164"/>
      <c r="U74" s="164"/>
      <c r="V74" s="164"/>
      <c r="W74" s="164"/>
      <c r="X74" s="186">
        <f>(X89/N89)^(1/10)</f>
        <v>1.009576582776887</v>
      </c>
      <c r="AH74" s="186">
        <f>(AH89/X89)^(1/10)</f>
        <v>1.0128653932829546</v>
      </c>
      <c r="AI74" s="127"/>
    </row>
    <row r="75" spans="1:35">
      <c r="A75" s="9" t="s">
        <v>347</v>
      </c>
      <c r="B75" s="37"/>
      <c r="C75" s="332"/>
      <c r="D75" s="332"/>
      <c r="E75" s="332"/>
      <c r="F75" s="332"/>
      <c r="G75" s="332"/>
      <c r="H75" s="284"/>
      <c r="I75" s="164"/>
      <c r="J75" s="164"/>
      <c r="K75" s="395"/>
      <c r="L75" s="395"/>
      <c r="M75" s="164"/>
      <c r="N75" s="179">
        <f>(N90/H90)^(1/6)</f>
        <v>1.1047997742090676</v>
      </c>
      <c r="O75" s="164"/>
      <c r="P75" s="164"/>
      <c r="Q75" s="164"/>
      <c r="R75" s="164"/>
      <c r="S75" s="164"/>
      <c r="T75" s="164"/>
      <c r="U75" s="164"/>
      <c r="V75" s="164"/>
      <c r="W75" s="164"/>
      <c r="X75" s="186">
        <f>(X90/N90)^(1/10)</f>
        <v>1.009576582776887</v>
      </c>
      <c r="AH75" s="186">
        <f>(AH90/X90)^(1/10)</f>
        <v>1.0128653932829546</v>
      </c>
      <c r="AI75" s="127"/>
    </row>
    <row r="76" spans="1:35">
      <c r="A76" s="9" t="s">
        <v>348</v>
      </c>
      <c r="B76" s="37"/>
      <c r="C76" s="332"/>
      <c r="D76" s="332"/>
      <c r="E76" s="332"/>
      <c r="F76" s="332"/>
      <c r="G76" s="332"/>
      <c r="H76" s="284"/>
      <c r="I76" s="164"/>
      <c r="J76" s="164"/>
      <c r="K76" s="395"/>
      <c r="L76" s="395"/>
      <c r="M76" s="164"/>
      <c r="N76" s="179">
        <f>(N91/H91)^(1/6)</f>
        <v>1.1047997742090676</v>
      </c>
      <c r="O76" s="164"/>
      <c r="P76" s="164"/>
      <c r="Q76" s="164"/>
      <c r="R76" s="164"/>
      <c r="S76" s="164"/>
      <c r="T76" s="164"/>
      <c r="U76" s="164"/>
      <c r="V76" s="164"/>
      <c r="W76" s="164"/>
      <c r="X76" s="186">
        <f>(X91/N91)^(1/10)</f>
        <v>1.009576582776887</v>
      </c>
      <c r="AH76" s="186">
        <f>(AH91/X91)^(1/10)</f>
        <v>1.0128653932829546</v>
      </c>
      <c r="AI76" s="127"/>
    </row>
    <row r="77" spans="1:35">
      <c r="A77" s="9" t="s">
        <v>344</v>
      </c>
      <c r="B77" s="37"/>
      <c r="C77" s="332"/>
      <c r="D77" s="332"/>
      <c r="E77" s="332"/>
      <c r="F77" s="332"/>
      <c r="G77" s="332"/>
      <c r="H77" s="284"/>
      <c r="I77" s="164"/>
      <c r="J77" s="164"/>
      <c r="K77" s="395"/>
      <c r="L77" s="395"/>
      <c r="M77" s="164"/>
      <c r="N77" s="179">
        <f>(N92/H92)^(1/6)</f>
        <v>1.1047997742090676</v>
      </c>
      <c r="O77" s="164"/>
      <c r="P77" s="164"/>
      <c r="Q77" s="164"/>
      <c r="R77" s="164"/>
      <c r="S77" s="164"/>
      <c r="T77" s="164"/>
      <c r="U77" s="164"/>
      <c r="V77" s="164"/>
      <c r="W77" s="164"/>
      <c r="X77" s="186">
        <f>(X92/N92)^(1/10)</f>
        <v>1.009576582776887</v>
      </c>
      <c r="AH77" s="186">
        <f>(AH92/X92)^(1/10)</f>
        <v>1.0128653932829546</v>
      </c>
      <c r="AI77" s="127"/>
    </row>
    <row r="78" spans="1:35">
      <c r="A78" s="9" t="s">
        <v>120</v>
      </c>
      <c r="B78" s="37"/>
      <c r="C78" s="332"/>
      <c r="D78" s="332"/>
      <c r="E78" s="332"/>
      <c r="F78" s="332"/>
      <c r="G78" s="332"/>
      <c r="H78" s="284"/>
      <c r="I78" s="164"/>
      <c r="J78" s="164"/>
      <c r="K78" s="395"/>
      <c r="L78" s="395"/>
      <c r="M78" s="164"/>
      <c r="N78" s="186">
        <f t="shared" ref="N78:N79" si="70">(N93/H93)^(1/6)</f>
        <v>1.3594494884378585</v>
      </c>
      <c r="O78" s="164"/>
      <c r="P78" s="164"/>
      <c r="Q78" s="164"/>
      <c r="R78" s="164"/>
      <c r="S78" s="164"/>
      <c r="T78" s="164"/>
      <c r="U78" s="164"/>
      <c r="V78" s="164"/>
      <c r="W78" s="164"/>
      <c r="X78" s="186">
        <f t="shared" ref="X78:X79" si="71">(X93/N93)^(1/10)</f>
        <v>1.0968747643484824</v>
      </c>
      <c r="AH78" s="186">
        <f t="shared" ref="AH78:AH79" si="72">(AH93/X93)^(1/10)</f>
        <v>1.0456535782597394</v>
      </c>
      <c r="AI78" s="127"/>
    </row>
    <row r="79" spans="1:35">
      <c r="A79" s="9" t="s">
        <v>53</v>
      </c>
      <c r="B79" s="37"/>
      <c r="C79" s="332"/>
      <c r="D79" s="332"/>
      <c r="E79" s="332"/>
      <c r="F79" s="332"/>
      <c r="G79" s="332"/>
      <c r="H79" s="284"/>
      <c r="I79" s="164"/>
      <c r="J79" s="164"/>
      <c r="K79" s="395"/>
      <c r="L79" s="395"/>
      <c r="M79" s="164"/>
      <c r="N79" s="186">
        <f t="shared" si="70"/>
        <v>1.1241762754459972</v>
      </c>
      <c r="O79" s="164"/>
      <c r="P79" s="164"/>
      <c r="Q79" s="164"/>
      <c r="R79" s="164"/>
      <c r="S79" s="164"/>
      <c r="T79" s="164"/>
      <c r="U79" s="164"/>
      <c r="V79" s="164"/>
      <c r="W79" s="164"/>
      <c r="X79" s="186">
        <f t="shared" si="71"/>
        <v>1.009576582776887</v>
      </c>
      <c r="AH79" s="186">
        <f t="shared" si="72"/>
        <v>1.0128653932829546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2.1138703683462677E-2</v>
      </c>
      <c r="D84" s="336">
        <f t="shared" si="73"/>
        <v>2.0717663846124543E-2</v>
      </c>
      <c r="E84" s="336">
        <f t="shared" si="73"/>
        <v>2.0296624008786412E-2</v>
      </c>
      <c r="F84" s="336">
        <f t="shared" si="73"/>
        <v>1.9875584171448281E-2</v>
      </c>
      <c r="G84" s="336">
        <f t="shared" si="73"/>
        <v>1.945454433411015E-2</v>
      </c>
      <c r="H84" s="396">
        <f t="shared" si="73"/>
        <v>1.7558798782509575E-2</v>
      </c>
      <c r="I84" s="116">
        <f t="shared" si="73"/>
        <v>1.7383543230881853E-2</v>
      </c>
      <c r="J84" s="116">
        <f t="shared" si="73"/>
        <v>1.7208287679254131E-2</v>
      </c>
      <c r="K84" s="116">
        <f t="shared" si="73"/>
        <v>1.7033032127626409E-2</v>
      </c>
      <c r="L84" s="116">
        <f t="shared" si="73"/>
        <v>1.6857776575998688E-2</v>
      </c>
      <c r="M84" s="116">
        <f t="shared" si="73"/>
        <v>1.6682521024370966E-2</v>
      </c>
      <c r="N84" s="178">
        <f t="shared" si="73"/>
        <v>1.6507265472743247E-2</v>
      </c>
      <c r="O84" s="116">
        <f t="shared" si="73"/>
        <v>1.6589345405544957E-2</v>
      </c>
      <c r="P84" s="116">
        <f t="shared" si="73"/>
        <v>1.6671425338346667E-2</v>
      </c>
      <c r="Q84" s="116">
        <f t="shared" si="73"/>
        <v>1.6753505271148376E-2</v>
      </c>
      <c r="R84" s="116">
        <f t="shared" si="73"/>
        <v>1.6835585203950086E-2</v>
      </c>
      <c r="S84" s="116">
        <f t="shared" si="73"/>
        <v>1.6917665136751796E-2</v>
      </c>
      <c r="T84" s="116">
        <f t="shared" si="73"/>
        <v>1.6999745069553505E-2</v>
      </c>
      <c r="U84" s="116">
        <f t="shared" si="73"/>
        <v>1.7081825002355215E-2</v>
      </c>
      <c r="V84" s="116">
        <f t="shared" si="73"/>
        <v>1.7163904935156925E-2</v>
      </c>
      <c r="W84" s="116">
        <f t="shared" si="73"/>
        <v>1.7245984867958634E-2</v>
      </c>
      <c r="X84" s="178">
        <f t="shared" si="73"/>
        <v>1.7328064800760327E-2</v>
      </c>
      <c r="Y84" s="173">
        <f t="shared" si="73"/>
        <v>1.7313597503447083E-2</v>
      </c>
      <c r="Z84" s="173">
        <f t="shared" si="73"/>
        <v>1.7299130206133839E-2</v>
      </c>
      <c r="AA84" s="173">
        <f t="shared" si="73"/>
        <v>1.7284662908820594E-2</v>
      </c>
      <c r="AB84" s="173">
        <f t="shared" si="73"/>
        <v>1.727019561150735E-2</v>
      </c>
      <c r="AC84" s="173">
        <f t="shared" si="73"/>
        <v>1.7255728314194106E-2</v>
      </c>
      <c r="AD84" s="173">
        <f t="shared" si="73"/>
        <v>1.7241261016880862E-2</v>
      </c>
      <c r="AE84" s="173">
        <f t="shared" si="73"/>
        <v>1.7226793719567618E-2</v>
      </c>
      <c r="AF84" s="173">
        <f t="shared" si="73"/>
        <v>1.7212326422254374E-2</v>
      </c>
      <c r="AG84" s="173">
        <f t="shared" si="73"/>
        <v>1.719785912494113E-2</v>
      </c>
      <c r="AH84" s="178">
        <f t="shared" si="73"/>
        <v>1.7183391827627882E-2</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0</v>
      </c>
      <c r="D86" s="336">
        <f t="shared" si="75"/>
        <v>0</v>
      </c>
      <c r="E86" s="336">
        <f t="shared" si="75"/>
        <v>5.4392846733298068E-8</v>
      </c>
      <c r="F86" s="336">
        <f t="shared" si="75"/>
        <v>5.1262599020354369E-8</v>
      </c>
      <c r="G86" s="336">
        <f t="shared" si="75"/>
        <v>5.3343995957864157E-8</v>
      </c>
      <c r="H86" s="409">
        <f t="shared" si="75"/>
        <v>5.516907282259187E-8</v>
      </c>
      <c r="I86" s="396">
        <f t="shared" si="75"/>
        <v>6.6127117468543813E-8</v>
      </c>
      <c r="J86" s="396">
        <f t="shared" si="75"/>
        <v>7.9261721123359568E-8</v>
      </c>
      <c r="K86" s="396">
        <f t="shared" si="75"/>
        <v>9.5005206274501913E-8</v>
      </c>
      <c r="L86" s="396">
        <f t="shared" si="75"/>
        <v>1.1387576614962717E-7</v>
      </c>
      <c r="M86" s="396">
        <f t="shared" si="75"/>
        <v>1.3649452092863802E-7</v>
      </c>
      <c r="N86" s="397">
        <f>N34/N$49</f>
        <v>1.6360596177292451E-7</v>
      </c>
      <c r="O86" s="396">
        <f t="shared" si="75"/>
        <v>1.6517274780863522E-7</v>
      </c>
      <c r="P86" s="396">
        <f t="shared" si="75"/>
        <v>1.6675453830051051E-7</v>
      </c>
      <c r="Q86" s="396">
        <f t="shared" si="75"/>
        <v>1.6835147693996686E-7</v>
      </c>
      <c r="R86" s="396">
        <f t="shared" si="75"/>
        <v>1.6996370879449366E-7</v>
      </c>
      <c r="S86" s="396">
        <f t="shared" si="75"/>
        <v>1.7159138032083085E-7</v>
      </c>
      <c r="T86" s="396">
        <f t="shared" si="75"/>
        <v>1.7323463937827358E-7</v>
      </c>
      <c r="U86" s="396">
        <f t="shared" si="75"/>
        <v>1.7489363524210378E-7</v>
      </c>
      <c r="V86" s="396">
        <f t="shared" si="75"/>
        <v>1.7656851861715048E-7</v>
      </c>
      <c r="W86" s="396">
        <f t="shared" si="75"/>
        <v>1.7825944165147993E-7</v>
      </c>
      <c r="X86" s="397">
        <f t="shared" si="75"/>
        <v>1.7996655795021688E-7</v>
      </c>
      <c r="Y86" s="396">
        <f>Y34/Y$49</f>
        <v>1.8228189849602606E-7</v>
      </c>
      <c r="Z86" s="396">
        <f t="shared" si="75"/>
        <v>1.8462702680854106E-7</v>
      </c>
      <c r="AA86" s="396">
        <f t="shared" si="75"/>
        <v>1.8700232611909552E-7</v>
      </c>
      <c r="AB86" s="396">
        <f t="shared" si="75"/>
        <v>1.8940818458944502E-7</v>
      </c>
      <c r="AC86" s="396">
        <f t="shared" si="75"/>
        <v>1.9184499537519869E-7</v>
      </c>
      <c r="AD86" s="396">
        <f t="shared" si="75"/>
        <v>1.9431315669006722E-7</v>
      </c>
      <c r="AE86" s="396">
        <f t="shared" si="75"/>
        <v>1.968130718709373E-7</v>
      </c>
      <c r="AF86" s="396">
        <f t="shared" si="75"/>
        <v>1.993451494437833E-7</v>
      </c>
      <c r="AG86" s="396">
        <f t="shared" si="75"/>
        <v>2.0190980319042694E-7</v>
      </c>
      <c r="AH86" s="397">
        <f t="shared" si="75"/>
        <v>2.0450745221615557E-7</v>
      </c>
      <c r="AI86" s="292"/>
    </row>
    <row r="87" spans="1:35">
      <c r="A87" s="9" t="s">
        <v>50</v>
      </c>
      <c r="B87" s="37"/>
      <c r="C87" s="410">
        <f t="shared" ref="C87:AH87" si="76">C35/C$49</f>
        <v>0</v>
      </c>
      <c r="D87" s="336">
        <f t="shared" si="76"/>
        <v>0</v>
      </c>
      <c r="E87" s="336">
        <f t="shared" si="76"/>
        <v>4.0801484019655457E-8</v>
      </c>
      <c r="F87" s="336">
        <f t="shared" si="76"/>
        <v>4.1308836430943507E-8</v>
      </c>
      <c r="G87" s="336">
        <f t="shared" si="76"/>
        <v>5.195218305315811E-8</v>
      </c>
      <c r="H87" s="409">
        <f t="shared" si="76"/>
        <v>5.4845448013222875E-8</v>
      </c>
      <c r="I87" s="116">
        <f t="shared" si="76"/>
        <v>6.8633797782834119E-8</v>
      </c>
      <c r="J87" s="116">
        <f>J35/J$49</f>
        <v>8.5888590005851916E-8</v>
      </c>
      <c r="K87" s="116">
        <f t="shared" si="76"/>
        <v>1.0748130121743519E-7</v>
      </c>
      <c r="L87" s="116">
        <f t="shared" si="76"/>
        <v>1.345025003973861E-7</v>
      </c>
      <c r="M87" s="116">
        <f t="shared" si="76"/>
        <v>1.6831692962621309E-7</v>
      </c>
      <c r="N87" s="178">
        <f t="shared" si="76"/>
        <v>2.1063243222314224E-7</v>
      </c>
      <c r="O87" s="116">
        <f t="shared" si="76"/>
        <v>2.1264957114582407E-7</v>
      </c>
      <c r="P87" s="116">
        <f t="shared" si="76"/>
        <v>2.1468602736637157E-7</v>
      </c>
      <c r="Q87" s="116">
        <f t="shared" si="76"/>
        <v>2.1674198587848666E-7</v>
      </c>
      <c r="R87" s="116">
        <f t="shared" si="76"/>
        <v>2.1881763344747886E-7</v>
      </c>
      <c r="S87" s="116">
        <f t="shared" si="76"/>
        <v>2.2091315862723116E-7</v>
      </c>
      <c r="T87" s="116">
        <f t="shared" si="76"/>
        <v>2.2302875177732841E-7</v>
      </c>
      <c r="U87" s="116">
        <f t="shared" si="76"/>
        <v>2.2516460508034977E-7</v>
      </c>
      <c r="V87" s="116">
        <f t="shared" si="76"/>
        <v>2.2732091255932685E-7</v>
      </c>
      <c r="W87" s="116">
        <f t="shared" si="76"/>
        <v>2.2949787009536867E-7</v>
      </c>
      <c r="X87" s="178">
        <f t="shared" si="76"/>
        <v>2.3169567544545645E-7</v>
      </c>
      <c r="Y87" s="173">
        <f t="shared" si="76"/>
        <v>2.5030274313548965E-7</v>
      </c>
      <c r="Z87" s="173">
        <f t="shared" si="76"/>
        <v>2.8476110492018806E-7</v>
      </c>
      <c r="AA87" s="173">
        <f t="shared" si="76"/>
        <v>3.1419159463328296E-7</v>
      </c>
      <c r="AB87" s="173">
        <f t="shared" si="76"/>
        <v>3.4355095885357623E-7</v>
      </c>
      <c r="AC87" s="173">
        <f t="shared" si="76"/>
        <v>3.5161962241915174E-7</v>
      </c>
      <c r="AD87" s="173">
        <f t="shared" si="76"/>
        <v>3.5561624850441505E-7</v>
      </c>
      <c r="AE87" s="173">
        <f t="shared" si="76"/>
        <v>3.5766800972091549E-7</v>
      </c>
      <c r="AF87" s="173">
        <f t="shared" si="76"/>
        <v>3.651326823901469E-7</v>
      </c>
      <c r="AG87" s="173">
        <f t="shared" si="76"/>
        <v>3.7408944625408171E-7</v>
      </c>
      <c r="AH87" s="178">
        <f t="shared" si="76"/>
        <v>2.6329054027892776E-7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0</v>
      </c>
      <c r="D89" s="336">
        <f t="shared" si="78"/>
        <v>0</v>
      </c>
      <c r="E89" s="336">
        <f t="shared" si="78"/>
        <v>1.4413435356919694E-8</v>
      </c>
      <c r="F89" s="336">
        <f t="shared" si="78"/>
        <v>1.6468834923664442E-8</v>
      </c>
      <c r="G89" s="336">
        <f t="shared" si="78"/>
        <v>2.0805094291452781E-8</v>
      </c>
      <c r="H89" s="409">
        <f t="shared" si="78"/>
        <v>1.7996307792855122E-8</v>
      </c>
      <c r="I89" s="116">
        <f t="shared" si="78"/>
        <v>2.0616921531209384E-8</v>
      </c>
      <c r="J89" s="116">
        <f t="shared" si="78"/>
        <v>2.3619147789459408E-8</v>
      </c>
      <c r="K89" s="116">
        <f t="shared" si="78"/>
        <v>2.705855680033726E-8</v>
      </c>
      <c r="L89" s="116">
        <f t="shared" si="78"/>
        <v>3.0998810907302231E-8</v>
      </c>
      <c r="M89" s="116">
        <f t="shared" si="78"/>
        <v>3.5512842933836835E-8</v>
      </c>
      <c r="N89" s="178">
        <f t="shared" si="78"/>
        <v>4.068420614631638E-8</v>
      </c>
      <c r="O89" s="116">
        <f t="shared" si="78"/>
        <v>4.1073821814188524E-8</v>
      </c>
      <c r="P89" s="116">
        <f t="shared" si="78"/>
        <v>4.14671686687552E-8</v>
      </c>
      <c r="Q89" s="116">
        <f t="shared" si="78"/>
        <v>4.1864282442034679E-8</v>
      </c>
      <c r="R89" s="116">
        <f t="shared" si="78"/>
        <v>4.22651992082358E-8</v>
      </c>
      <c r="S89" s="116">
        <f t="shared" si="78"/>
        <v>4.2669955387035082E-8</v>
      </c>
      <c r="T89" s="116">
        <f t="shared" si="78"/>
        <v>4.3078587746885114E-8</v>
      </c>
      <c r="U89" s="116">
        <f t="shared" si="78"/>
        <v>4.3491133408354546E-8</v>
      </c>
      <c r="V89" s="116">
        <f t="shared" si="78"/>
        <v>4.3907629847500287E-8</v>
      </c>
      <c r="W89" s="116">
        <f t="shared" si="78"/>
        <v>4.4328114899271787E-8</v>
      </c>
      <c r="X89" s="178">
        <f t="shared" si="78"/>
        <v>4.4752626760948006E-8</v>
      </c>
      <c r="Y89" s="173">
        <f t="shared" si="78"/>
        <v>4.5328386904672882E-8</v>
      </c>
      <c r="Z89" s="173">
        <f t="shared" si="78"/>
        <v>4.5911554429083424E-8</v>
      </c>
      <c r="AA89" s="173">
        <f t="shared" si="78"/>
        <v>4.6502224633045353E-8</v>
      </c>
      <c r="AB89" s="173">
        <f t="shared" si="78"/>
        <v>4.7100494041481781E-8</v>
      </c>
      <c r="AC89" s="173">
        <f t="shared" si="78"/>
        <v>4.7706460421146904E-8</v>
      </c>
      <c r="AD89" s="173">
        <f t="shared" si="78"/>
        <v>4.8320222796602667E-8</v>
      </c>
      <c r="AE89" s="173">
        <f t="shared" si="78"/>
        <v>4.8941881466400945E-8</v>
      </c>
      <c r="AF89" s="173">
        <f t="shared" si="78"/>
        <v>4.9571538019473936E-8</v>
      </c>
      <c r="AG89" s="173">
        <f t="shared" si="78"/>
        <v>5.0209295351735409E-8</v>
      </c>
      <c r="AH89" s="178">
        <f t="shared" si="78"/>
        <v>5.0855257682895459E-8</v>
      </c>
      <c r="AI89" s="127"/>
    </row>
    <row r="90" spans="1:35" s="252" customFormat="1">
      <c r="A90" s="10" t="s">
        <v>347</v>
      </c>
      <c r="B90" s="37"/>
      <c r="C90" s="410">
        <f t="shared" ref="C90:AH90" si="79">C38/C$49</f>
        <v>0</v>
      </c>
      <c r="D90" s="336">
        <f t="shared" si="79"/>
        <v>0</v>
      </c>
      <c r="E90" s="336">
        <f t="shared" si="79"/>
        <v>4.1762010255532708E-7</v>
      </c>
      <c r="F90" s="336">
        <f t="shared" si="79"/>
        <v>4.0658303573763301E-7</v>
      </c>
      <c r="G90" s="336">
        <f t="shared" si="79"/>
        <v>4.3048200816728118E-7</v>
      </c>
      <c r="H90" s="409">
        <f t="shared" si="79"/>
        <v>4.1661278240086772E-7</v>
      </c>
      <c r="I90" s="396">
        <f t="shared" si="79"/>
        <v>4.6027370792909009E-7</v>
      </c>
      <c r="J90" s="396">
        <f t="shared" si="79"/>
        <v>5.0851028859442901E-7</v>
      </c>
      <c r="K90" s="396">
        <f t="shared" si="79"/>
        <v>5.6180205202211295E-7</v>
      </c>
      <c r="L90" s="396">
        <f t="shared" si="79"/>
        <v>6.2067878022422121E-7</v>
      </c>
      <c r="M90" s="396">
        <f t="shared" si="79"/>
        <v>6.8572577624807908E-7</v>
      </c>
      <c r="N90" s="397">
        <f t="shared" si="79"/>
        <v>7.575896827682158E-7</v>
      </c>
      <c r="O90" s="396">
        <f t="shared" si="79"/>
        <v>7.6484480307616072E-7</v>
      </c>
      <c r="P90" s="396">
        <f t="shared" si="79"/>
        <v>7.7216940264429134E-7</v>
      </c>
      <c r="Q90" s="396">
        <f t="shared" si="79"/>
        <v>7.795641468464939E-7</v>
      </c>
      <c r="R90" s="396">
        <f t="shared" si="79"/>
        <v>7.8702970742866254E-7</v>
      </c>
      <c r="S90" s="396">
        <f t="shared" si="79"/>
        <v>7.9456676256972241E-7</v>
      </c>
      <c r="T90" s="396">
        <f t="shared" si="79"/>
        <v>8.0217599694323448E-7</v>
      </c>
      <c r="U90" s="396">
        <f t="shared" si="79"/>
        <v>8.0985810177959326E-7</v>
      </c>
      <c r="V90" s="396">
        <f t="shared" si="79"/>
        <v>8.1761377492881811E-7</v>
      </c>
      <c r="W90" s="396">
        <f t="shared" si="79"/>
        <v>8.2544372092394699E-7</v>
      </c>
      <c r="X90" s="397">
        <f t="shared" si="79"/>
        <v>8.3334865104503718E-7</v>
      </c>
      <c r="Y90" s="396">
        <f t="shared" si="79"/>
        <v>8.440700091825511E-7</v>
      </c>
      <c r="Z90" s="396">
        <f t="shared" si="79"/>
        <v>8.5492930180903182E-7</v>
      </c>
      <c r="AA90" s="396">
        <f t="shared" si="79"/>
        <v>8.6592830350592686E-7</v>
      </c>
      <c r="AB90" s="396">
        <f t="shared" si="79"/>
        <v>8.7706881168537214E-7</v>
      </c>
      <c r="AC90" s="396">
        <f t="shared" si="79"/>
        <v>8.8835264688391806E-7</v>
      </c>
      <c r="AD90" s="396">
        <f t="shared" si="79"/>
        <v>8.9978165306003334E-7</v>
      </c>
      <c r="AE90" s="396">
        <f t="shared" si="79"/>
        <v>9.1135769789543764E-7</v>
      </c>
      <c r="AF90" s="396">
        <f t="shared" si="79"/>
        <v>9.2308267310031055E-7</v>
      </c>
      <c r="AG90" s="396">
        <f t="shared" si="79"/>
        <v>9.3495849472242714E-7</v>
      </c>
      <c r="AH90" s="397">
        <f t="shared" si="79"/>
        <v>9.4698710346026956E-7</v>
      </c>
      <c r="AI90" s="292"/>
    </row>
    <row r="91" spans="1:35" s="252" customFormat="1">
      <c r="A91" s="10" t="s">
        <v>348</v>
      </c>
      <c r="B91" s="37"/>
      <c r="C91" s="410">
        <f t="shared" ref="C91:AH91" si="80">C39/C$49</f>
        <v>0</v>
      </c>
      <c r="D91" s="336">
        <f t="shared" si="80"/>
        <v>0</v>
      </c>
      <c r="E91" s="336">
        <f t="shared" si="80"/>
        <v>2.0881005127766354E-7</v>
      </c>
      <c r="F91" s="336">
        <f t="shared" si="80"/>
        <v>2.032915178688165E-7</v>
      </c>
      <c r="G91" s="336">
        <f t="shared" si="80"/>
        <v>2.1524100408364059E-7</v>
      </c>
      <c r="H91" s="409">
        <f t="shared" si="80"/>
        <v>2.0830639120043386E-7</v>
      </c>
      <c r="I91" s="396">
        <f t="shared" si="80"/>
        <v>2.3013685396454504E-7</v>
      </c>
      <c r="J91" s="396">
        <f t="shared" si="80"/>
        <v>2.5425514429721451E-7</v>
      </c>
      <c r="K91" s="396">
        <f t="shared" si="80"/>
        <v>2.8090102601105648E-7</v>
      </c>
      <c r="L91" s="396">
        <f t="shared" si="80"/>
        <v>3.103393901121106E-7</v>
      </c>
      <c r="M91" s="396">
        <f t="shared" si="80"/>
        <v>3.4286288812403954E-7</v>
      </c>
      <c r="N91" s="397">
        <f t="shared" si="80"/>
        <v>3.787948413841079E-7</v>
      </c>
      <c r="O91" s="396">
        <f t="shared" si="80"/>
        <v>3.8242240153808036E-7</v>
      </c>
      <c r="P91" s="396">
        <f t="shared" si="80"/>
        <v>3.8608470132214567E-7</v>
      </c>
      <c r="Q91" s="396">
        <f t="shared" si="80"/>
        <v>3.8978207342324695E-7</v>
      </c>
      <c r="R91" s="396">
        <f t="shared" si="80"/>
        <v>3.9351485371433127E-7</v>
      </c>
      <c r="S91" s="396">
        <f t="shared" si="80"/>
        <v>3.9728338128486121E-7</v>
      </c>
      <c r="T91" s="396">
        <f t="shared" si="80"/>
        <v>4.0108799847161724E-7</v>
      </c>
      <c r="U91" s="396">
        <f t="shared" si="80"/>
        <v>4.0492905088979663E-7</v>
      </c>
      <c r="V91" s="396">
        <f t="shared" si="80"/>
        <v>4.0880688746440906E-7</v>
      </c>
      <c r="W91" s="396">
        <f t="shared" si="80"/>
        <v>4.1272186046197349E-7</v>
      </c>
      <c r="X91" s="397">
        <f t="shared" si="80"/>
        <v>4.1667432552251859E-7</v>
      </c>
      <c r="Y91" s="396">
        <f t="shared" si="80"/>
        <v>4.2203500459127555E-7</v>
      </c>
      <c r="Z91" s="396">
        <f t="shared" si="80"/>
        <v>4.2746465090451591E-7</v>
      </c>
      <c r="AA91" s="396">
        <f t="shared" si="80"/>
        <v>4.3296415175296343E-7</v>
      </c>
      <c r="AB91" s="396">
        <f t="shared" si="80"/>
        <v>4.3853440584268607E-7</v>
      </c>
      <c r="AC91" s="396">
        <f t="shared" si="80"/>
        <v>4.4417632344195903E-7</v>
      </c>
      <c r="AD91" s="396">
        <f t="shared" si="80"/>
        <v>4.4989082653001667E-7</v>
      </c>
      <c r="AE91" s="396">
        <f t="shared" si="80"/>
        <v>4.5567884894771882E-7</v>
      </c>
      <c r="AF91" s="396">
        <f t="shared" si="80"/>
        <v>4.6154133655015528E-7</v>
      </c>
      <c r="AG91" s="396">
        <f t="shared" si="80"/>
        <v>4.6747924736121357E-7</v>
      </c>
      <c r="AH91" s="397">
        <f t="shared" si="80"/>
        <v>4.7349355173013478E-7</v>
      </c>
      <c r="AI91" s="292"/>
    </row>
    <row r="92" spans="1:35">
      <c r="A92" s="9" t="s">
        <v>344</v>
      </c>
      <c r="B92" s="37"/>
      <c r="C92" s="410">
        <f t="shared" ref="C92:AH92" si="81">C40/C$49</f>
        <v>2.186031260247022E-7</v>
      </c>
      <c r="D92" s="336">
        <f t="shared" si="81"/>
        <v>2.4151268427348734E-7</v>
      </c>
      <c r="E92" s="336">
        <f t="shared" si="81"/>
        <v>2.6682315905397466E-7</v>
      </c>
      <c r="F92" s="336">
        <f t="shared" si="81"/>
        <v>2.9478616587658134E-7</v>
      </c>
      <c r="G92" s="336">
        <f t="shared" si="81"/>
        <v>3.256796895004038E-7</v>
      </c>
      <c r="H92" s="409">
        <f t="shared" si="81"/>
        <v>2.0830639120043386E-7</v>
      </c>
      <c r="I92" s="116">
        <f t="shared" si="81"/>
        <v>2.3013685396454504E-7</v>
      </c>
      <c r="J92" s="116">
        <f t="shared" si="81"/>
        <v>2.5425514429721451E-7</v>
      </c>
      <c r="K92" s="116">
        <f t="shared" si="81"/>
        <v>2.8090102601105648E-7</v>
      </c>
      <c r="L92" s="116">
        <f t="shared" si="81"/>
        <v>3.103393901121106E-7</v>
      </c>
      <c r="M92" s="116">
        <f t="shared" si="81"/>
        <v>3.4286288812403954E-7</v>
      </c>
      <c r="N92" s="178">
        <f t="shared" si="81"/>
        <v>3.787948413841079E-7</v>
      </c>
      <c r="O92" s="116">
        <f t="shared" si="81"/>
        <v>3.8242240153808036E-7</v>
      </c>
      <c r="P92" s="116">
        <f t="shared" si="81"/>
        <v>3.8608470132214567E-7</v>
      </c>
      <c r="Q92" s="116">
        <f t="shared" si="81"/>
        <v>3.8978207342324695E-7</v>
      </c>
      <c r="R92" s="116">
        <f t="shared" si="81"/>
        <v>3.9351485371433127E-7</v>
      </c>
      <c r="S92" s="116">
        <f t="shared" si="81"/>
        <v>3.9728338128486121E-7</v>
      </c>
      <c r="T92" s="116">
        <f t="shared" si="81"/>
        <v>4.0108799847161724E-7</v>
      </c>
      <c r="U92" s="116">
        <f t="shared" si="81"/>
        <v>4.0492905088979663E-7</v>
      </c>
      <c r="V92" s="116">
        <f t="shared" si="81"/>
        <v>4.0880688746440906E-7</v>
      </c>
      <c r="W92" s="116">
        <f t="shared" si="81"/>
        <v>4.1272186046197349E-7</v>
      </c>
      <c r="X92" s="178">
        <f t="shared" si="81"/>
        <v>4.1667432552251859E-7</v>
      </c>
      <c r="Y92" s="173">
        <f t="shared" si="81"/>
        <v>4.2203500459127555E-7</v>
      </c>
      <c r="Z92" s="173">
        <f t="shared" si="81"/>
        <v>4.2746465090451591E-7</v>
      </c>
      <c r="AA92" s="173">
        <f t="shared" si="81"/>
        <v>4.3296415175296343E-7</v>
      </c>
      <c r="AB92" s="173">
        <f t="shared" si="81"/>
        <v>4.3853440584268607E-7</v>
      </c>
      <c r="AC92" s="173">
        <f t="shared" si="81"/>
        <v>4.4417632344195903E-7</v>
      </c>
      <c r="AD92" s="173">
        <f t="shared" si="81"/>
        <v>4.4989082653001667E-7</v>
      </c>
      <c r="AE92" s="173">
        <f t="shared" si="81"/>
        <v>4.5567884894771882E-7</v>
      </c>
      <c r="AF92" s="173">
        <f t="shared" si="81"/>
        <v>4.6154133655015528E-7</v>
      </c>
      <c r="AG92" s="173">
        <f t="shared" si="81"/>
        <v>4.6747924736121357E-7</v>
      </c>
      <c r="AH92" s="178">
        <f t="shared" si="81"/>
        <v>4.7349355173013478E-7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2.0830639120043386E-5</v>
      </c>
      <c r="I93" s="116">
        <f t="shared" si="82"/>
        <v>3.8718737809804731E-5</v>
      </c>
      <c r="J93" s="116">
        <f t="shared" si="82"/>
        <v>5.810137875796115E-5</v>
      </c>
      <c r="K93" s="116">
        <f t="shared" si="82"/>
        <v>7.5530525452479708E-5</v>
      </c>
      <c r="L93" s="116">
        <f t="shared" si="82"/>
        <v>9.3859820122907137E-5</v>
      </c>
      <c r="M93" s="116">
        <f t="shared" si="82"/>
        <v>1.1279578679177966E-4</v>
      </c>
      <c r="N93" s="178">
        <f t="shared" si="82"/>
        <v>1.3148646476661394E-4</v>
      </c>
      <c r="O93" s="116">
        <f t="shared" si="82"/>
        <v>1.5400586945482546E-4</v>
      </c>
      <c r="P93" s="116">
        <f t="shared" si="82"/>
        <v>1.7503218023420775E-4</v>
      </c>
      <c r="Q93" s="116">
        <f t="shared" si="82"/>
        <v>1.9431994850110975E-4</v>
      </c>
      <c r="R93" s="116">
        <f t="shared" si="82"/>
        <v>2.1372075377505673E-4</v>
      </c>
      <c r="S93" s="116">
        <f t="shared" si="82"/>
        <v>2.3295115889610272E-4</v>
      </c>
      <c r="T93" s="116">
        <f t="shared" si="82"/>
        <v>2.5288987411987578E-4</v>
      </c>
      <c r="U93" s="116">
        <f t="shared" si="82"/>
        <v>2.7256185071746874E-4</v>
      </c>
      <c r="V93" s="116">
        <f t="shared" si="82"/>
        <v>2.9230304732884245E-4</v>
      </c>
      <c r="W93" s="116">
        <f t="shared" si="82"/>
        <v>3.1185015741952188E-4</v>
      </c>
      <c r="X93" s="178">
        <f t="shared" si="82"/>
        <v>3.3147554796799928E-4</v>
      </c>
      <c r="Y93" s="173">
        <f t="shared" si="82"/>
        <v>3.5128026558028431E-4</v>
      </c>
      <c r="Z93" s="173">
        <f t="shared" si="82"/>
        <v>3.7173469840755643E-4</v>
      </c>
      <c r="AA93" s="173">
        <f t="shared" si="82"/>
        <v>3.915556736567617E-4</v>
      </c>
      <c r="AB93" s="173">
        <f t="shared" si="82"/>
        <v>4.1120958198355282E-4</v>
      </c>
      <c r="AC93" s="173">
        <f t="shared" si="82"/>
        <v>4.3083363444973747E-4</v>
      </c>
      <c r="AD93" s="173">
        <f t="shared" si="82"/>
        <v>4.4678631856720421E-4</v>
      </c>
      <c r="AE93" s="173">
        <f t="shared" si="82"/>
        <v>4.6211367077743717E-4</v>
      </c>
      <c r="AF93" s="173">
        <f t="shared" si="82"/>
        <v>4.8044858801041745E-4</v>
      </c>
      <c r="AG93" s="173">
        <f t="shared" si="82"/>
        <v>4.993600900094475E-4</v>
      </c>
      <c r="AH93" s="178">
        <f t="shared" si="82"/>
        <v>5.1800002041949998E-4</v>
      </c>
      <c r="AI93" s="127"/>
    </row>
    <row r="94" spans="1:35">
      <c r="A94" s="9" t="s">
        <v>53</v>
      </c>
      <c r="B94" s="37"/>
      <c r="C94" s="410">
        <f t="shared" ref="C94:AH94" si="83">C42/C$49</f>
        <v>4.8661055853098704E-2</v>
      </c>
      <c r="D94" s="336">
        <f t="shared" si="83"/>
        <v>6.7870654877615441E-2</v>
      </c>
      <c r="E94" s="336">
        <f t="shared" si="83"/>
        <v>7.3725305569633567E-2</v>
      </c>
      <c r="F94" s="336">
        <f t="shared" si="83"/>
        <v>8.1926314193222091E-2</v>
      </c>
      <c r="G94" s="336">
        <f t="shared" si="83"/>
        <v>0.10206974654290379</v>
      </c>
      <c r="H94" s="409">
        <f t="shared" si="83"/>
        <v>9.9087600142407695E-2</v>
      </c>
      <c r="I94" s="116">
        <f t="shared" si="83"/>
        <v>0.11139192927097415</v>
      </c>
      <c r="J94" s="116">
        <f t="shared" si="83"/>
        <v>0.12522416416258766</v>
      </c>
      <c r="K94" s="116">
        <f t="shared" si="83"/>
        <v>0.14077403446413592</v>
      </c>
      <c r="L94" s="116">
        <f t="shared" si="83"/>
        <v>0.15825482974339877</v>
      </c>
      <c r="M94" s="116">
        <f t="shared" si="83"/>
        <v>0.17790632507227444</v>
      </c>
      <c r="N94" s="178">
        <f t="shared" si="83"/>
        <v>0.19999806989803434</v>
      </c>
      <c r="O94" s="116">
        <f t="shared" si="83"/>
        <v>0.20191336796963047</v>
      </c>
      <c r="P94" s="116">
        <f t="shared" si="83"/>
        <v>0.20384700805175168</v>
      </c>
      <c r="Q94" s="116">
        <f t="shared" si="83"/>
        <v>0.20579916579818003</v>
      </c>
      <c r="R94" s="116">
        <f t="shared" si="83"/>
        <v>0.2077700185448606</v>
      </c>
      <c r="S94" s="116">
        <f t="shared" si="83"/>
        <v>0.2097597453260108</v>
      </c>
      <c r="T94" s="116">
        <f t="shared" si="83"/>
        <v>0.21176852689038408</v>
      </c>
      <c r="U94" s="116">
        <f t="shared" si="83"/>
        <v>0.21379654571768927</v>
      </c>
      <c r="V94" s="116">
        <f t="shared" si="83"/>
        <v>0.21584398603516722</v>
      </c>
      <c r="W94" s="116">
        <f t="shared" si="83"/>
        <v>0.21791103383432625</v>
      </c>
      <c r="X94" s="178">
        <f t="shared" si="83"/>
        <v>0.21999787688783776</v>
      </c>
      <c r="Y94" s="173">
        <f t="shared" si="83"/>
        <v>0.2228282360954148</v>
      </c>
      <c r="Z94" s="173">
        <f t="shared" si="83"/>
        <v>0.22569500898732936</v>
      </c>
      <c r="AA94" s="173">
        <f t="shared" si="83"/>
        <v>0.22859866403995133</v>
      </c>
      <c r="AB94" s="173">
        <f t="shared" si="83"/>
        <v>0.2315396757567833</v>
      </c>
      <c r="AC94" s="173">
        <f t="shared" si="83"/>
        <v>0.2345185247460021</v>
      </c>
      <c r="AD94" s="173">
        <f t="shared" si="83"/>
        <v>0.23753569779899772</v>
      </c>
      <c r="AE94" s="173">
        <f t="shared" si="83"/>
        <v>0.24059168796992286</v>
      </c>
      <c r="AF94" s="173">
        <f t="shared" si="83"/>
        <v>0.24368699465626581</v>
      </c>
      <c r="AG94" s="173">
        <f t="shared" si="83"/>
        <v>0.24682212368045992</v>
      </c>
      <c r="AH94" s="178">
        <f t="shared" si="83"/>
        <v>0.24999758737254291</v>
      </c>
      <c r="AI94" s="127"/>
    </row>
    <row r="95" spans="1:35" s="378" customFormat="1">
      <c r="A95" s="373" t="s">
        <v>541</v>
      </c>
      <c r="B95" s="374"/>
      <c r="C95" s="375">
        <f>SUM(C86:C94)</f>
        <v>4.8661274456224729E-2</v>
      </c>
      <c r="D95" s="375">
        <f>SUM(D86:D94)</f>
        <v>6.7870896390299709E-2</v>
      </c>
      <c r="E95" s="375">
        <f>SUM(E86:E94)</f>
        <v>7.3726308430712567E-2</v>
      </c>
      <c r="F95" s="375">
        <f>SUM(F86:F94)</f>
        <v>8.1927327894211949E-2</v>
      </c>
      <c r="G95" s="375">
        <f t="shared" ref="G95:AH95" si="84">SUM(G86:G94)</f>
        <v>0.10207084404687884</v>
      </c>
      <c r="H95" s="375">
        <f t="shared" si="84"/>
        <v>9.9109392017921169E-2</v>
      </c>
      <c r="I95" s="375">
        <f t="shared" si="84"/>
        <v>0.11143172393403659</v>
      </c>
      <c r="J95" s="375">
        <f t="shared" si="84"/>
        <v>0.12528347133138173</v>
      </c>
      <c r="K95" s="375">
        <f t="shared" si="84"/>
        <v>0.14085091813875672</v>
      </c>
      <c r="L95" s="375">
        <f t="shared" si="84"/>
        <v>0.15835021029815957</v>
      </c>
      <c r="M95" s="375">
        <f t="shared" si="84"/>
        <v>0.1780208326349122</v>
      </c>
      <c r="N95" s="376">
        <f t="shared" si="84"/>
        <v>0.20013148646476664</v>
      </c>
      <c r="O95" s="375">
        <f t="shared" si="84"/>
        <v>0.20206932242483222</v>
      </c>
      <c r="P95" s="375">
        <f t="shared" si="84"/>
        <v>0.2040240074785255</v>
      </c>
      <c r="Q95" s="375">
        <f t="shared" si="84"/>
        <v>0.2059954718327201</v>
      </c>
      <c r="R95" s="375">
        <f t="shared" si="84"/>
        <v>0.20798574440459197</v>
      </c>
      <c r="S95" s="375">
        <f t="shared" si="84"/>
        <v>0.20999472079292639</v>
      </c>
      <c r="T95" s="375">
        <f t="shared" si="84"/>
        <v>0.21202346045847675</v>
      </c>
      <c r="U95" s="375">
        <f t="shared" si="84"/>
        <v>0.21407117083398403</v>
      </c>
      <c r="V95" s="375">
        <f t="shared" si="84"/>
        <v>0.21613837210710693</v>
      </c>
      <c r="W95" s="375">
        <f t="shared" si="84"/>
        <v>0.21822498696461426</v>
      </c>
      <c r="X95" s="376">
        <f t="shared" si="84"/>
        <v>0.220331475547968</v>
      </c>
      <c r="Y95" s="375">
        <f t="shared" si="84"/>
        <v>0.22318168241404199</v>
      </c>
      <c r="Z95" s="375">
        <f t="shared" si="84"/>
        <v>0.22606896884402669</v>
      </c>
      <c r="AA95" s="375">
        <f t="shared" si="84"/>
        <v>0.22899249926636048</v>
      </c>
      <c r="AB95" s="375">
        <f t="shared" si="84"/>
        <v>0.23195321953602771</v>
      </c>
      <c r="AC95" s="375">
        <f t="shared" si="84"/>
        <v>0.23495172625682381</v>
      </c>
      <c r="AD95" s="375">
        <f t="shared" si="84"/>
        <v>0.23798488193049905</v>
      </c>
      <c r="AE95" s="375">
        <f t="shared" si="84"/>
        <v>0.24105622777905916</v>
      </c>
      <c r="AF95" s="375">
        <f t="shared" si="84"/>
        <v>0.24416990345899228</v>
      </c>
      <c r="AG95" s="375">
        <f t="shared" si="84"/>
        <v>0.2473239798960036</v>
      </c>
      <c r="AH95" s="376">
        <f t="shared" si="84"/>
        <v>0.25051800002041952</v>
      </c>
      <c r="AI95" s="377"/>
    </row>
    <row r="96" spans="1:35">
      <c r="A96" s="10" t="s">
        <v>544</v>
      </c>
      <c r="B96" s="37"/>
      <c r="C96" s="332"/>
      <c r="D96" s="332">
        <f>D95/C95-1</f>
        <v>0.39476199809266799</v>
      </c>
      <c r="E96" s="332">
        <f t="shared" ref="E96:O96" si="85">E95/D95-1</f>
        <v>8.6272796615807223E-2</v>
      </c>
      <c r="F96" s="332">
        <f t="shared" si="85"/>
        <v>0.11123599754362634</v>
      </c>
      <c r="G96" s="332">
        <f t="shared" si="85"/>
        <v>0.2458705375900585</v>
      </c>
      <c r="H96" s="284"/>
      <c r="I96" s="164">
        <f t="shared" si="85"/>
        <v>0.12433061756535935</v>
      </c>
      <c r="J96" s="164">
        <f t="shared" si="85"/>
        <v>0.12430703670657439</v>
      </c>
      <c r="K96" s="164">
        <f t="shared" si="85"/>
        <v>0.12425778629806827</v>
      </c>
      <c r="L96" s="164">
        <f t="shared" si="85"/>
        <v>0.12423981604552803</v>
      </c>
      <c r="M96" s="164">
        <f t="shared" si="85"/>
        <v>0.12422226847513862</v>
      </c>
      <c r="N96" s="164">
        <f t="shared" si="85"/>
        <v>0.12420262001132931</v>
      </c>
      <c r="O96" s="172">
        <f t="shared" si="85"/>
        <v>9.6828140054150413E-3</v>
      </c>
      <c r="P96" s="172">
        <f t="shared" ref="P96:AH96" si="86">P95/O95-1</f>
        <v>9.6733389820733429E-3</v>
      </c>
      <c r="Q96" s="172">
        <f t="shared" si="86"/>
        <v>9.6629037854876199E-3</v>
      </c>
      <c r="R96" s="172">
        <f t="shared" si="86"/>
        <v>9.661729717476808E-3</v>
      </c>
      <c r="S96" s="172">
        <f t="shared" si="86"/>
        <v>9.6592023366099955E-3</v>
      </c>
      <c r="T96" s="172">
        <f t="shared" si="86"/>
        <v>9.6609079403995324E-3</v>
      </c>
      <c r="U96" s="172">
        <f t="shared" si="86"/>
        <v>9.6579424327822849E-3</v>
      </c>
      <c r="V96" s="172">
        <f t="shared" si="86"/>
        <v>9.6566074967938675E-3</v>
      </c>
      <c r="W96" s="172">
        <f t="shared" si="86"/>
        <v>9.6540694609901223E-3</v>
      </c>
      <c r="X96" s="185">
        <f t="shared" si="86"/>
        <v>9.6528294612536758E-3</v>
      </c>
      <c r="Y96" s="172">
        <f t="shared" si="86"/>
        <v>1.2935995000194378E-2</v>
      </c>
      <c r="Z96" s="172">
        <f t="shared" si="86"/>
        <v>1.2936932810768464E-2</v>
      </c>
      <c r="AA96" s="172">
        <f t="shared" si="86"/>
        <v>1.2932028828559927E-2</v>
      </c>
      <c r="AB96" s="172">
        <f t="shared" si="86"/>
        <v>1.2929332965720297E-2</v>
      </c>
      <c r="AC96" s="172">
        <f t="shared" si="86"/>
        <v>1.2927204575103435E-2</v>
      </c>
      <c r="AD96" s="172">
        <f t="shared" si="86"/>
        <v>1.2909697332292414E-2</v>
      </c>
      <c r="AE96" s="172">
        <f t="shared" si="86"/>
        <v>1.2905634272420086E-2</v>
      </c>
      <c r="AF96" s="172">
        <f t="shared" si="86"/>
        <v>1.2916802476420353E-2</v>
      </c>
      <c r="AG96" s="172">
        <f t="shared" si="86"/>
        <v>1.2917547954639952E-2</v>
      </c>
      <c r="AH96" s="185">
        <f t="shared" si="86"/>
        <v>1.2914316378698665E-2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145.04849999999999</v>
      </c>
      <c r="D102" s="331">
        <f>D31*Inputs!$C$48</f>
        <v>148.67306340936662</v>
      </c>
      <c r="E102" s="331">
        <f>E31*Inputs!$C$48</f>
        <v>145.8020618590611</v>
      </c>
      <c r="F102" s="331">
        <f>F31*Inputs!$C$48</f>
        <v>146.65332115042261</v>
      </c>
      <c r="G102" s="331">
        <f>G31*Inputs!$C$48</f>
        <v>135.57740368942643</v>
      </c>
      <c r="H102" s="402">
        <f>H31*Inputs!$C$48</f>
        <v>126.43970269938364</v>
      </c>
      <c r="I102" s="14">
        <f>I31*Inputs!$C$48</f>
        <v>134.69093426759247</v>
      </c>
      <c r="J102" s="14">
        <f>J31*Inputs!$C$48</f>
        <v>133.27961609866787</v>
      </c>
      <c r="K102" s="14">
        <f>K31*Inputs!$C$48</f>
        <v>135.30713860855741</v>
      </c>
      <c r="L102" s="14">
        <f>L31*Inputs!$C$48</f>
        <v>134.70441788022691</v>
      </c>
      <c r="M102" s="14">
        <f>M31*Inputs!$C$48</f>
        <v>133.11019275613654</v>
      </c>
      <c r="N102" s="182">
        <f>N31*Inputs!$C$48</f>
        <v>131.82063094589626</v>
      </c>
      <c r="O102" s="14">
        <f>O31*Inputs!$C$48</f>
        <v>129.26269990309254</v>
      </c>
      <c r="P102" s="14">
        <f>P31*Inputs!$C$48</f>
        <v>128.58449330090338</v>
      </c>
      <c r="Q102" s="14">
        <f>Q31*Inputs!$C$48</f>
        <v>129.32412807107679</v>
      </c>
      <c r="R102" s="14">
        <f>R31*Inputs!$C$48</f>
        <v>129.97668731673585</v>
      </c>
      <c r="S102" s="14">
        <f>S31*Inputs!$C$48</f>
        <v>130.72181048790088</v>
      </c>
      <c r="T102" s="14">
        <f>T31*Inputs!$C$48</f>
        <v>131.08276083017734</v>
      </c>
      <c r="U102" s="14">
        <f>U31*Inputs!$C$48</f>
        <v>131.60988014470834</v>
      </c>
      <c r="V102" s="14">
        <f>V31*Inputs!$C$48</f>
        <v>132.11899929547002</v>
      </c>
      <c r="W102" s="14">
        <f>W31*Inputs!$C$48</f>
        <v>132.72516527038212</v>
      </c>
      <c r="X102" s="187">
        <f>X31*Inputs!$C$48</f>
        <v>133.3026388003878</v>
      </c>
      <c r="Y102" s="158">
        <f>Y31*Inputs!$C$48</f>
        <v>133.07526166346304</v>
      </c>
      <c r="Z102" s="158">
        <f>Z31*Inputs!$C$48</f>
        <v>132.62824616234221</v>
      </c>
      <c r="AA102" s="158">
        <f>AA31*Inputs!$C$48</f>
        <v>132.43069176394329</v>
      </c>
      <c r="AB102" s="158">
        <f>AB31*Inputs!$C$48</f>
        <v>132.29535146976229</v>
      </c>
      <c r="AC102" s="158">
        <f>AC31*Inputs!$C$48</f>
        <v>132.17144364684884</v>
      </c>
      <c r="AD102" s="158">
        <f>AD31*Inputs!$C$48</f>
        <v>133.13377790750729</v>
      </c>
      <c r="AE102" s="158">
        <f>AE31*Inputs!$C$48</f>
        <v>134.20173717455708</v>
      </c>
      <c r="AF102" s="158">
        <f>AF31*Inputs!$C$48</f>
        <v>134.34574623425547</v>
      </c>
      <c r="AG102" s="158">
        <f>AG31*Inputs!$C$48</f>
        <v>134.31520045184519</v>
      </c>
      <c r="AH102" s="187">
        <f>AH31*Inputs!$C$48</f>
        <v>134.34890764199886</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0</v>
      </c>
      <c r="D104" s="331">
        <f>D34*Inputs!$C$46</f>
        <v>0</v>
      </c>
      <c r="E104" s="331">
        <f>E34*Inputs!$C$46</f>
        <v>5.4702815999999998E-4</v>
      </c>
      <c r="F104" s="331">
        <f>F34*Inputs!$C$46</f>
        <v>5.2954229999999992E-4</v>
      </c>
      <c r="G104" s="331">
        <f>G34*Inputs!$C$46</f>
        <v>5.2045097999999987E-4</v>
      </c>
      <c r="H104" s="402">
        <f>H34*Inputs!$C$46</f>
        <v>5.5617618000000006E-4</v>
      </c>
      <c r="I104" s="14">
        <f>I34*Inputs!$C$46</f>
        <v>7.1731133058152937E-4</v>
      </c>
      <c r="J104" s="14">
        <f>J34*Inputs!$C$46</f>
        <v>8.5944405064353766E-4</v>
      </c>
      <c r="K104" s="14">
        <f>K34*Inputs!$C$46</f>
        <v>1.0565843782033635E-3</v>
      </c>
      <c r="L104" s="14">
        <f>L34*Inputs!$C$46</f>
        <v>1.2739162966702378E-3</v>
      </c>
      <c r="M104" s="14">
        <f>M34*Inputs!$C$46</f>
        <v>1.5247297905511637E-3</v>
      </c>
      <c r="N104" s="182">
        <f>N34*Inputs!$C$46</f>
        <v>1.829091414337464E-3</v>
      </c>
      <c r="O104" s="14">
        <f>O34*Inputs!$C$46</f>
        <v>1.8018158483232574E-3</v>
      </c>
      <c r="P104" s="14">
        <f>P34*Inputs!$C$46</f>
        <v>1.8006179033263835E-3</v>
      </c>
      <c r="Q104" s="14">
        <f>Q34*Inputs!$C$46</f>
        <v>1.8193608237391612E-3</v>
      </c>
      <c r="R104" s="14">
        <f>R34*Inputs!$C$46</f>
        <v>1.8370521363990364E-3</v>
      </c>
      <c r="S104" s="14">
        <f>S34*Inputs!$C$46</f>
        <v>1.8562272042671E-3</v>
      </c>
      <c r="T104" s="14">
        <f>T34*Inputs!$C$46</f>
        <v>1.8701047922484494E-3</v>
      </c>
      <c r="U104" s="14">
        <f>U34*Inputs!$C$46</f>
        <v>1.886497638089417E-3</v>
      </c>
      <c r="V104" s="14">
        <f>V34*Inputs!$C$46</f>
        <v>1.9027883517694099E-3</v>
      </c>
      <c r="W104" s="14">
        <f>W34*Inputs!$C$46</f>
        <v>1.9206394792458681E-3</v>
      </c>
      <c r="X104" s="187">
        <f>X34*Inputs!$C$46</f>
        <v>1.9382443616755088E-3</v>
      </c>
      <c r="Y104" s="158">
        <f>Y34*Inputs!$C$46</f>
        <v>1.9614696407063126E-3</v>
      </c>
      <c r="Z104" s="158">
        <f>Z34*Inputs!$C$46</f>
        <v>1.9816870475686116E-3</v>
      </c>
      <c r="AA104" s="158">
        <f>AA34*Inputs!$C$46</f>
        <v>2.0058699759480246E-3</v>
      </c>
      <c r="AB104" s="158">
        <f>AB34*Inputs!$C$46</f>
        <v>2.0313001706095011E-3</v>
      </c>
      <c r="AC104" s="158">
        <f>AC34*Inputs!$C$46</f>
        <v>2.0572300019366745E-3</v>
      </c>
      <c r="AD104" s="158">
        <f>AD34*Inputs!$C$46</f>
        <v>2.100629557822625E-3</v>
      </c>
      <c r="AE104" s="158">
        <f>AE34*Inputs!$C$46</f>
        <v>2.1465235610985856E-3</v>
      </c>
      <c r="AF104" s="158">
        <f>AF34*Inputs!$C$46</f>
        <v>2.1783018218739566E-3</v>
      </c>
      <c r="AG104" s="158">
        <f>AG34*Inputs!$C$46</f>
        <v>2.2076804844353378E-3</v>
      </c>
      <c r="AH104" s="187">
        <f>AH34*Inputs!$C$46</f>
        <v>2.2385274292586704E-3</v>
      </c>
    </row>
    <row r="105" spans="1:36">
      <c r="A105" s="10" t="s">
        <v>50</v>
      </c>
      <c r="B105" s="35">
        <v>1</v>
      </c>
      <c r="C105" s="331">
        <f>C35*Inputs!$C$49</f>
        <v>0</v>
      </c>
      <c r="D105" s="331">
        <f>D35*Inputs!$C$49</f>
        <v>0</v>
      </c>
      <c r="E105" s="331">
        <f>E35*Inputs!$C$49</f>
        <v>4.885E-4</v>
      </c>
      <c r="F105" s="331">
        <f>F35*Inputs!$C$49</f>
        <v>5.0799999999999999E-4</v>
      </c>
      <c r="G105" s="331">
        <f>G35*Inputs!$C$49</f>
        <v>6.0341874999999992E-4</v>
      </c>
      <c r="H105" s="402">
        <f>H35*Inputs!$C$49</f>
        <v>6.5823050000000005E-4</v>
      </c>
      <c r="I105" s="14">
        <f>I35*Inputs!$C$49</f>
        <v>8.863124376623405E-4</v>
      </c>
      <c r="J105" s="14">
        <f>J35*Inputs!$C$49</f>
        <v>1.1086904283758067E-3</v>
      </c>
      <c r="K105" s="14">
        <f>K35*Inputs!$C$49</f>
        <v>1.4230180522847998E-3</v>
      </c>
      <c r="L105" s="14">
        <f>L35*Inputs!$C$49</f>
        <v>1.7912683539833439E-3</v>
      </c>
      <c r="M105" s="14">
        <f>M35*Inputs!$C$49</f>
        <v>2.2383406474692862E-3</v>
      </c>
      <c r="N105" s="182">
        <f>N35*Inputs!$C$49</f>
        <v>2.8033817552610384E-3</v>
      </c>
      <c r="O105" s="14">
        <f>O35*Inputs!$C$49</f>
        <v>2.7615774892034302E-3</v>
      </c>
      <c r="P105" s="14">
        <f>P35*Inputs!$C$49</f>
        <v>2.759741442562066E-3</v>
      </c>
      <c r="Q105" s="14">
        <f>Q35*Inputs!$C$49</f>
        <v>2.7884680336518418E-3</v>
      </c>
      <c r="R105" s="14">
        <f>R35*Inputs!$C$49</f>
        <v>2.8155828638612855E-3</v>
      </c>
      <c r="S105" s="14">
        <f>S35*Inputs!$C$49</f>
        <v>2.8449717916075199E-3</v>
      </c>
      <c r="T105" s="14">
        <f>T35*Inputs!$C$49</f>
        <v>2.8662414649814109E-3</v>
      </c>
      <c r="U105" s="14">
        <f>U35*Inputs!$C$49</f>
        <v>2.8913661824160621E-3</v>
      </c>
      <c r="V105" s="14">
        <f>V35*Inputs!$C$49</f>
        <v>2.9163343656094733E-3</v>
      </c>
      <c r="W105" s="14">
        <f>W35*Inputs!$C$49</f>
        <v>2.9436941381643447E-3</v>
      </c>
      <c r="X105" s="187">
        <f>X35*Inputs!$C$49</f>
        <v>2.9706764999095909E-3</v>
      </c>
      <c r="Y105" s="158">
        <f>Y35*Inputs!$C$49</f>
        <v>3.2064492499999995E-3</v>
      </c>
      <c r="Z105" s="158">
        <f>Z35*Inputs!$C$49</f>
        <v>3.6386574999999997E-3</v>
      </c>
      <c r="AA105" s="158">
        <f>AA35*Inputs!$C$49</f>
        <v>4.0120935000000002E-3</v>
      </c>
      <c r="AB105" s="158">
        <f>AB35*Inputs!$C$49</f>
        <v>4.3861879999999992E-3</v>
      </c>
      <c r="AC105" s="158">
        <f>AC35*Inputs!$C$49</f>
        <v>4.4887579999999998E-3</v>
      </c>
      <c r="AD105" s="158">
        <f>AD35*Inputs!$C$49</f>
        <v>4.5766697499999998E-3</v>
      </c>
      <c r="AE105" s="158">
        <f>AE35*Inputs!$C$49</f>
        <v>4.6438965000000004E-3</v>
      </c>
      <c r="AF105" s="158">
        <f>AF35*Inputs!$C$49</f>
        <v>4.7498927499999991E-3</v>
      </c>
      <c r="AG105" s="158">
        <f>AG35*Inputs!$C$49</f>
        <v>4.8693947499999996E-3</v>
      </c>
      <c r="AH105" s="187">
        <f>AH35*Inputs!$C$49</f>
        <v>3.4309094147206712E-3</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0</v>
      </c>
      <c r="D107" s="331">
        <f>D37*Inputs!$C$52</f>
        <v>0</v>
      </c>
      <c r="E107" s="331">
        <f>E37*Inputs!$C$52</f>
        <v>1.0353981E-4</v>
      </c>
      <c r="F107" s="331">
        <f>F37*Inputs!$C$52</f>
        <v>1.21516395E-4</v>
      </c>
      <c r="G107" s="331">
        <f>G37*Inputs!$C$52</f>
        <v>1.44989295E-4</v>
      </c>
      <c r="H107" s="402">
        <f>H37*Inputs!$C$52</f>
        <v>1.2959017499999999E-4</v>
      </c>
      <c r="I107" s="14">
        <f>I37*Inputs!$C$52</f>
        <v>1.5974375223038834E-4</v>
      </c>
      <c r="J107" s="14">
        <f>J37*Inputs!$C$52</f>
        <v>1.8293225965486032E-4</v>
      </c>
      <c r="K107" s="14">
        <f>K37*Inputs!$C$52</f>
        <v>2.1494798272543125E-4</v>
      </c>
      <c r="L107" s="14">
        <f>L37*Inputs!$C$52</f>
        <v>2.4770032746741397E-4</v>
      </c>
      <c r="M107" s="14">
        <f>M37*Inputs!$C$52</f>
        <v>2.8335773480133613E-4</v>
      </c>
      <c r="N107" s="182">
        <f>N37*Inputs!$C$52</f>
        <v>3.2488831857679495E-4</v>
      </c>
      <c r="O107" s="14">
        <f>O37*Inputs!$C$52</f>
        <v>3.2004355646642442E-4</v>
      </c>
      <c r="P107" s="14">
        <f>P37*Inputs!$C$52</f>
        <v>3.1983077413486294E-4</v>
      </c>
      <c r="Q107" s="14">
        <f>Q37*Inputs!$C$52</f>
        <v>3.2315994393490377E-4</v>
      </c>
      <c r="R107" s="14">
        <f>R37*Inputs!$C$52</f>
        <v>3.2630232423280981E-4</v>
      </c>
      <c r="S107" s="14">
        <f>S37*Inputs!$C$52</f>
        <v>3.2970825326917105E-4</v>
      </c>
      <c r="T107" s="14">
        <f>T37*Inputs!$C$52</f>
        <v>3.3217322915272772E-4</v>
      </c>
      <c r="U107" s="14">
        <f>U37*Inputs!$C$52</f>
        <v>3.3508497215267491E-4</v>
      </c>
      <c r="V107" s="14">
        <f>V37*Inputs!$C$52</f>
        <v>3.3797857415333047E-4</v>
      </c>
      <c r="W107" s="14">
        <f>W37*Inputs!$C$52</f>
        <v>3.4114934120470128E-4</v>
      </c>
      <c r="X107" s="187">
        <f>X37*Inputs!$C$52</f>
        <v>3.4427636952404859E-4</v>
      </c>
      <c r="Y107" s="158">
        <f>Y37*Inputs!$C$52</f>
        <v>3.4840170836367574E-4</v>
      </c>
      <c r="Z107" s="158">
        <f>Z37*Inputs!$C$52</f>
        <v>3.5199278055940533E-4</v>
      </c>
      <c r="AA107" s="158">
        <f>AA37*Inputs!$C$52</f>
        <v>3.5628821974733487E-4</v>
      </c>
      <c r="AB107" s="158">
        <f>AB37*Inputs!$C$52</f>
        <v>3.6080520185106441E-4</v>
      </c>
      <c r="AC107" s="158">
        <f>AC37*Inputs!$C$52</f>
        <v>3.6541093081290347E-4</v>
      </c>
      <c r="AD107" s="158">
        <f>AD37*Inputs!$C$52</f>
        <v>3.73119680976095E-4</v>
      </c>
      <c r="AE107" s="158">
        <f>AE37*Inputs!$C$52</f>
        <v>3.8127150184202245E-4</v>
      </c>
      <c r="AF107" s="158">
        <f>AF37*Inputs!$C$52</f>
        <v>3.869160451544434E-4</v>
      </c>
      <c r="AG107" s="158">
        <f>AG37*Inputs!$C$52</f>
        <v>3.9213436513931937E-4</v>
      </c>
      <c r="AH107" s="187">
        <f>AH37*Inputs!$C$52</f>
        <v>3.9761348551478387E-4</v>
      </c>
    </row>
    <row r="108" spans="1:36">
      <c r="A108" s="9" t="s">
        <v>347</v>
      </c>
      <c r="B108" s="35">
        <v>1</v>
      </c>
      <c r="C108" s="331">
        <f>C38*Inputs!$C$54</f>
        <v>0</v>
      </c>
      <c r="D108" s="331">
        <f>D38*Inputs!$C$54</f>
        <v>0</v>
      </c>
      <c r="E108" s="331">
        <f>E38*Inputs!$C$54</f>
        <v>1.5800000000000002E-2</v>
      </c>
      <c r="F108" s="331">
        <f>F38*Inputs!$C$54</f>
        <v>1.5800000000000002E-2</v>
      </c>
      <c r="G108" s="331">
        <f>G38*Inputs!$C$54</f>
        <v>1.5800000000000002E-2</v>
      </c>
      <c r="H108" s="402">
        <f>H38*Inputs!$C$54</f>
        <v>1.5800000000000002E-2</v>
      </c>
      <c r="I108" s="14">
        <f>I38*Inputs!$C$54</f>
        <v>1.8782442291902544E-2</v>
      </c>
      <c r="J108" s="14">
        <f>J38*Inputs!$C$54</f>
        <v>2.07425264207463E-2</v>
      </c>
      <c r="K108" s="14">
        <f>K38*Inputs!$C$54</f>
        <v>2.3504331179409171E-2</v>
      </c>
      <c r="L108" s="14">
        <f>L38*Inputs!$C$54</f>
        <v>2.612066780732434E-2</v>
      </c>
      <c r="M108" s="14">
        <f>M38*Inputs!$C$54</f>
        <v>2.8816148828466469E-2</v>
      </c>
      <c r="N108" s="182">
        <f>N38*Inputs!$C$54</f>
        <v>3.1862374223418866E-2</v>
      </c>
      <c r="O108" s="14">
        <f>O38*Inputs!$C$54</f>
        <v>3.13872398016573E-2</v>
      </c>
      <c r="P108" s="14">
        <f>P38*Inputs!$C$54</f>
        <v>3.1366371860618227E-2</v>
      </c>
      <c r="Q108" s="14">
        <f>Q38*Inputs!$C$54</f>
        <v>3.1692869453658443E-2</v>
      </c>
      <c r="R108" s="14">
        <f>R38*Inputs!$C$54</f>
        <v>3.2001048268590231E-2</v>
      </c>
      <c r="S108" s="14">
        <f>S38*Inputs!$C$54</f>
        <v>3.2335073776218019E-2</v>
      </c>
      <c r="T108" s="14">
        <f>T38*Inputs!$C$54</f>
        <v>3.2576818337541842E-2</v>
      </c>
      <c r="U108" s="14">
        <f>U38*Inputs!$C$54</f>
        <v>3.2862378143179508E-2</v>
      </c>
      <c r="V108" s="14">
        <f>V38*Inputs!$C$54</f>
        <v>3.3146158828808343E-2</v>
      </c>
      <c r="W108" s="14">
        <f>W38*Inputs!$C$54</f>
        <v>3.3457121583051488E-2</v>
      </c>
      <c r="X108" s="187">
        <f>X38*Inputs!$C$54</f>
        <v>3.3763794802189495E-2</v>
      </c>
      <c r="Y108" s="158">
        <f>Y38*Inputs!$C$54</f>
        <v>3.416837410649444E-2</v>
      </c>
      <c r="Z108" s="158">
        <f>Z38*Inputs!$C$54</f>
        <v>3.4520556932472558E-2</v>
      </c>
      <c r="AA108" s="158">
        <f>AA38*Inputs!$C$54</f>
        <v>3.4941818279938947E-2</v>
      </c>
      <c r="AB108" s="158">
        <f>AB38*Inputs!$C$54</f>
        <v>3.5384806734494588E-2</v>
      </c>
      <c r="AC108" s="158">
        <f>AC38*Inputs!$C$54</f>
        <v>3.5836498750989987E-2</v>
      </c>
      <c r="AD108" s="158">
        <f>AD38*Inputs!$C$54</f>
        <v>3.6592509565938368E-2</v>
      </c>
      <c r="AE108" s="158">
        <f>AE38*Inputs!$C$54</f>
        <v>3.7391973111350695E-2</v>
      </c>
      <c r="AF108" s="158">
        <f>AF38*Inputs!$C$54</f>
        <v>3.7945543495563026E-2</v>
      </c>
      <c r="AG108" s="158">
        <f>AG38*Inputs!$C$54</f>
        <v>3.8457313401307917E-2</v>
      </c>
      <c r="AH108" s="187">
        <f>AH38*Inputs!$C$54</f>
        <v>3.8994660464393982E-2</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2.7341529918592307E-3</v>
      </c>
      <c r="J109" s="14">
        <f>J39*Inputs!$C$55</f>
        <v>3.0194816941592714E-3</v>
      </c>
      <c r="K109" s="14">
        <f>K39*Inputs!$C$55</f>
        <v>3.4215165640912085E-3</v>
      </c>
      <c r="L109" s="14">
        <f>L39*Inputs!$C$55</f>
        <v>3.8023756934712646E-3</v>
      </c>
      <c r="M109" s="14">
        <f>M39*Inputs!$C$55</f>
        <v>4.1947558421185369E-3</v>
      </c>
      <c r="N109" s="182">
        <f>N39*Inputs!$C$55</f>
        <v>4.6381937160673032E-3</v>
      </c>
      <c r="O109" s="14">
        <f>O39*Inputs!$C$55</f>
        <v>4.5690285787222656E-3</v>
      </c>
      <c r="P109" s="14">
        <f>P39*Inputs!$C$55</f>
        <v>4.5659908404697422E-3</v>
      </c>
      <c r="Q109" s="14">
        <f>Q39*Inputs!$C$55</f>
        <v>4.6135189711021783E-3</v>
      </c>
      <c r="R109" s="14">
        <f>R39*Inputs!$C$55</f>
        <v>4.6583804441618689E-3</v>
      </c>
      <c r="S109" s="14">
        <f>S39*Inputs!$C$55</f>
        <v>4.7070044104621164E-3</v>
      </c>
      <c r="T109" s="14">
        <f>T39*Inputs!$C$55</f>
        <v>4.7421950744522936E-3</v>
      </c>
      <c r="U109" s="14">
        <f>U39*Inputs!$C$55</f>
        <v>4.7837639069185358E-3</v>
      </c>
      <c r="V109" s="14">
        <f>V39*Inputs!$C$55</f>
        <v>4.8250737535607078E-3</v>
      </c>
      <c r="W109" s="14">
        <f>W39*Inputs!$C$55</f>
        <v>4.8703404836087615E-3</v>
      </c>
      <c r="X109" s="187">
        <f>X39*Inputs!$C$55</f>
        <v>4.9149827876604968E-3</v>
      </c>
      <c r="Y109" s="158">
        <f>Y39*Inputs!$C$55</f>
        <v>4.9738772433504568E-3</v>
      </c>
      <c r="Z109" s="158">
        <f>Z39*Inputs!$C$55</f>
        <v>5.0251443635877776E-3</v>
      </c>
      <c r="AA109" s="158">
        <f>AA39*Inputs!$C$55</f>
        <v>5.0864672179657955E-3</v>
      </c>
      <c r="AB109" s="158">
        <f>AB39*Inputs!$C$55</f>
        <v>5.1509528790719969E-3</v>
      </c>
      <c r="AC109" s="158">
        <f>AC39*Inputs!$C$55</f>
        <v>5.2167055143846185E-3</v>
      </c>
      <c r="AD109" s="158">
        <f>AD39*Inputs!$C$55</f>
        <v>5.3267577216239391E-3</v>
      </c>
      <c r="AE109" s="158">
        <f>AE39*Inputs!$C$55</f>
        <v>5.4431353263358602E-3</v>
      </c>
      <c r="AF109" s="158">
        <f>AF39*Inputs!$C$55</f>
        <v>5.523718356949048E-3</v>
      </c>
      <c r="AG109" s="158">
        <f>AG39*Inputs!$C$55</f>
        <v>5.598216507785329E-3</v>
      </c>
      <c r="AH109" s="187">
        <f>AH39*Inputs!$C$55</f>
        <v>5.6764379157029209E-3</v>
      </c>
    </row>
    <row r="110" spans="1:36">
      <c r="A110" s="9" t="s">
        <v>344</v>
      </c>
      <c r="B110" s="35">
        <v>1</v>
      </c>
      <c r="C110" s="331">
        <f>C40*Inputs!$C$51</f>
        <v>2.7000000000000001E-3</v>
      </c>
      <c r="D110" s="331">
        <f>D40*Inputs!$C$51</f>
        <v>3.1196362486485352E-3</v>
      </c>
      <c r="E110" s="331">
        <f>E40*Inputs!$C$51</f>
        <v>3.4501333869592101E-3</v>
      </c>
      <c r="F110" s="331">
        <f>F40*Inputs!$C$51</f>
        <v>3.9151788338772529E-3</v>
      </c>
      <c r="G110" s="331">
        <f>G40*Inputs!$C$51</f>
        <v>4.0853515128064961E-3</v>
      </c>
      <c r="H110" s="402">
        <f>H40*Inputs!$C$51</f>
        <v>2.7000000000000001E-3</v>
      </c>
      <c r="I110" s="14">
        <f>I40*Inputs!$C$51</f>
        <v>3.2096578600086622E-3</v>
      </c>
      <c r="J110" s="14">
        <f>J40*Inputs!$C$51</f>
        <v>3.5446089453174054E-3</v>
      </c>
      <c r="K110" s="14">
        <f>K40*Inputs!$C$51</f>
        <v>4.016562923063593E-3</v>
      </c>
      <c r="L110" s="14">
        <f>L40*Inputs!$C$51</f>
        <v>4.4636584227706151E-3</v>
      </c>
      <c r="M110" s="14">
        <f>M40*Inputs!$C$51</f>
        <v>4.9242785972695869E-3</v>
      </c>
      <c r="N110" s="182">
        <f>N40*Inputs!$C$51</f>
        <v>5.4448361014703128E-3</v>
      </c>
      <c r="O110" s="14">
        <f>O40*Inputs!$C$51</f>
        <v>5.3636422445870078E-3</v>
      </c>
      <c r="P110" s="14">
        <f>P40*Inputs!$C$51</f>
        <v>5.3600762040296977E-3</v>
      </c>
      <c r="Q110" s="14">
        <f>Q40*Inputs!$C$51</f>
        <v>5.4158700965112527E-3</v>
      </c>
      <c r="R110" s="14">
        <f>R40*Inputs!$C$51</f>
        <v>5.4685335648856723E-3</v>
      </c>
      <c r="S110" s="14">
        <f>S40*Inputs!$C$51</f>
        <v>5.5256138731511802E-3</v>
      </c>
      <c r="T110" s="14">
        <f>T40*Inputs!$C$51</f>
        <v>5.5669246526179102E-3</v>
      </c>
      <c r="U110" s="14">
        <f>U40*Inputs!$C$51</f>
        <v>5.6157228472521947E-3</v>
      </c>
      <c r="V110" s="14">
        <f>V40*Inputs!$C$51</f>
        <v>5.6642170150495268E-3</v>
      </c>
      <c r="W110" s="14">
        <f>W40*Inputs!$C$51</f>
        <v>5.7173562198885456E-3</v>
      </c>
      <c r="X110" s="187">
        <f>X40*Inputs!$C$51</f>
        <v>5.7697624029058002E-3</v>
      </c>
      <c r="Y110" s="158">
        <f>Y40*Inputs!$C$51</f>
        <v>5.8388993726287974E-3</v>
      </c>
      <c r="Z110" s="158">
        <f>Z40*Inputs!$C$51</f>
        <v>5.8990825137769567E-3</v>
      </c>
      <c r="AA110" s="158">
        <f>AA40*Inputs!$C$51</f>
        <v>5.9710702123946299E-3</v>
      </c>
      <c r="AB110" s="158">
        <f>AB40*Inputs!$C$51</f>
        <v>6.0467707710845182E-3</v>
      </c>
      <c r="AC110" s="158">
        <f>AC40*Inputs!$C$51</f>
        <v>6.123958647321074E-3</v>
      </c>
      <c r="AD110" s="158">
        <f>AD40*Inputs!$C$51</f>
        <v>6.2531503688628854E-3</v>
      </c>
      <c r="AE110" s="158">
        <f>AE40*Inputs!$C$51</f>
        <v>6.3897675570029665E-3</v>
      </c>
      <c r="AF110" s="158">
        <f>AF40*Inputs!$C$51</f>
        <v>6.4843650277227952E-3</v>
      </c>
      <c r="AG110" s="158">
        <f>AG40*Inputs!$C$51</f>
        <v>6.571819378704517E-3</v>
      </c>
      <c r="AH110" s="187">
        <f>AH40*Inputs!$C$51</f>
        <v>6.6636445097382124E-3</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378.42</v>
      </c>
      <c r="D112" s="331">
        <f>D42*Inputs!$C$57</f>
        <v>551.99</v>
      </c>
      <c r="E112" s="331">
        <f>E42*Inputs!$C$57</f>
        <v>600.22503084258369</v>
      </c>
      <c r="F112" s="331">
        <f>F42*Inputs!$C$57</f>
        <v>685.09859923595639</v>
      </c>
      <c r="G112" s="331">
        <f>G42*Inputs!$C$57</f>
        <v>806.15944838980965</v>
      </c>
      <c r="H112" s="402">
        <f>H42*Inputs!$C$57</f>
        <v>808.65939480469603</v>
      </c>
      <c r="I112" s="14">
        <f>I42*Inputs!$C$57</f>
        <v>978.16349639735893</v>
      </c>
      <c r="J112" s="14">
        <f>J42*Inputs!$C$57</f>
        <v>1099.1877488650632</v>
      </c>
      <c r="K112" s="14">
        <f>K42*Inputs!$C$57</f>
        <v>1267.3861708513996</v>
      </c>
      <c r="L112" s="14">
        <f>L42*Inputs!$C$57</f>
        <v>1433.164959252455</v>
      </c>
      <c r="M112" s="14">
        <f>M42*Inputs!$C$57</f>
        <v>1608.7874976101921</v>
      </c>
      <c r="N112" s="182">
        <f>N42*Inputs!$C$57</f>
        <v>1810.0547733266876</v>
      </c>
      <c r="O112" s="14">
        <f>O42*Inputs!$C$57</f>
        <v>1783.0630833147989</v>
      </c>
      <c r="P112" s="14">
        <f>P42*Inputs!$C$57</f>
        <v>1781.8776061741935</v>
      </c>
      <c r="Q112" s="14">
        <f>Q42*Inputs!$C$57</f>
        <v>1800.4254558296573</v>
      </c>
      <c r="R112" s="14">
        <f>R42*Inputs!$C$57</f>
        <v>1817.9326425538488</v>
      </c>
      <c r="S112" s="14">
        <f>S42*Inputs!$C$57</f>
        <v>1836.90814200204</v>
      </c>
      <c r="T112" s="14">
        <f>T42*Inputs!$C$57</f>
        <v>1850.641296163174</v>
      </c>
      <c r="U112" s="14">
        <f>U42*Inputs!$C$57</f>
        <v>1866.8635301260401</v>
      </c>
      <c r="V112" s="14">
        <f>V42*Inputs!$C$57</f>
        <v>1882.9846948891748</v>
      </c>
      <c r="W112" s="14">
        <f>W42*Inputs!$C$57</f>
        <v>1900.650033124733</v>
      </c>
      <c r="X112" s="187">
        <f>X42*Inputs!$C$57</f>
        <v>1918.0716891588961</v>
      </c>
      <c r="Y112" s="158">
        <f>Y42*Inputs!$C$57</f>
        <v>1941.0552463731642</v>
      </c>
      <c r="Z112" s="158">
        <f>Z42*Inputs!$C$57</f>
        <v>1961.062236460451</v>
      </c>
      <c r="AA112" s="158">
        <f>AA42*Inputs!$C$57</f>
        <v>1984.993476092905</v>
      </c>
      <c r="AB112" s="158">
        <f>AB42*Inputs!$C$57</f>
        <v>2010.1590008298442</v>
      </c>
      <c r="AC112" s="158">
        <f>AC42*Inputs!$C$57</f>
        <v>2035.8189621622341</v>
      </c>
      <c r="AD112" s="158">
        <f>AD42*Inputs!$C$57</f>
        <v>2078.7668283409607</v>
      </c>
      <c r="AE112" s="158">
        <f>AE42*Inputs!$C$57</f>
        <v>2124.1831804410076</v>
      </c>
      <c r="AF112" s="158">
        <f>AF42*Inputs!$C$57</f>
        <v>2155.6307025022907</v>
      </c>
      <c r="AG112" s="158">
        <f>AG42*Inputs!$C$57</f>
        <v>2184.7036006561775</v>
      </c>
      <c r="AH112" s="187">
        <f>AH42*Inputs!$C$57</f>
        <v>2215.2294996256628</v>
      </c>
      <c r="AI112" s="31" t="s">
        <v>0</v>
      </c>
    </row>
    <row r="113" spans="1:35" s="20" customFormat="1">
      <c r="A113" s="10" t="s">
        <v>384</v>
      </c>
      <c r="B113" s="37"/>
      <c r="C113" s="334">
        <f>SUM(C100:C112)</f>
        <v>523.47119999999995</v>
      </c>
      <c r="D113" s="334">
        <f t="shared" ref="D113:AH113" si="87">SUM(D100:D112)</f>
        <v>700.6661830456153</v>
      </c>
      <c r="E113" s="334">
        <f t="shared" si="87"/>
        <v>746.04978190300176</v>
      </c>
      <c r="F113" s="334">
        <f t="shared" si="87"/>
        <v>831.77509462390788</v>
      </c>
      <c r="G113" s="334">
        <f t="shared" si="87"/>
        <v>941.76030628977389</v>
      </c>
      <c r="H113" s="404">
        <f t="shared" si="87"/>
        <v>935.12124150093473</v>
      </c>
      <c r="I113" s="19">
        <f t="shared" si="87"/>
        <v>1112.8809202856155</v>
      </c>
      <c r="J113" s="19">
        <f t="shared" si="87"/>
        <v>1232.4968226475301</v>
      </c>
      <c r="K113" s="19">
        <f t="shared" si="87"/>
        <v>1402.7269464210367</v>
      </c>
      <c r="L113" s="19">
        <f t="shared" si="87"/>
        <v>1567.9070767195835</v>
      </c>
      <c r="M113" s="19">
        <f t="shared" si="87"/>
        <v>1741.9396719777692</v>
      </c>
      <c r="N113" s="182">
        <f t="shared" si="87"/>
        <v>1941.9223070381131</v>
      </c>
      <c r="O113" s="19">
        <f t="shared" si="87"/>
        <v>1912.3719865654102</v>
      </c>
      <c r="P113" s="19">
        <f t="shared" si="87"/>
        <v>1910.5082721041219</v>
      </c>
      <c r="Q113" s="19">
        <f t="shared" si="87"/>
        <v>1929.7962371480567</v>
      </c>
      <c r="R113" s="19">
        <f t="shared" si="87"/>
        <v>1947.9564367701869</v>
      </c>
      <c r="S113" s="19">
        <f t="shared" si="87"/>
        <v>1967.6775510892498</v>
      </c>
      <c r="T113" s="19">
        <f t="shared" si="87"/>
        <v>1981.7720114509023</v>
      </c>
      <c r="U113" s="19">
        <f t="shared" si="87"/>
        <v>1998.5217850844385</v>
      </c>
      <c r="V113" s="19">
        <f t="shared" si="87"/>
        <v>2015.1524867355338</v>
      </c>
      <c r="W113" s="19">
        <f t="shared" si="87"/>
        <v>2033.4244486963603</v>
      </c>
      <c r="X113" s="182">
        <f t="shared" si="87"/>
        <v>2051.4240296965077</v>
      </c>
      <c r="Y113" s="206">
        <f t="shared" si="87"/>
        <v>2074.1810055079486</v>
      </c>
      <c r="Z113" s="206">
        <f t="shared" si="87"/>
        <v>2093.7418997439313</v>
      </c>
      <c r="AA113" s="206">
        <f t="shared" si="87"/>
        <v>2117.4765414642543</v>
      </c>
      <c r="AB113" s="206">
        <f t="shared" si="87"/>
        <v>2142.5077131233638</v>
      </c>
      <c r="AC113" s="206">
        <f t="shared" si="87"/>
        <v>2168.0444943709285</v>
      </c>
      <c r="AD113" s="206">
        <f t="shared" si="87"/>
        <v>2211.9558290851132</v>
      </c>
      <c r="AE113" s="206">
        <f t="shared" si="87"/>
        <v>2258.4413141831224</v>
      </c>
      <c r="AF113" s="206">
        <f t="shared" si="87"/>
        <v>2290.0337174740434</v>
      </c>
      <c r="AG113" s="206">
        <f t="shared" si="87"/>
        <v>2319.0768976669101</v>
      </c>
      <c r="AH113" s="182">
        <f t="shared" si="87"/>
        <v>2349.635809060881</v>
      </c>
      <c r="AI113" s="31" t="s">
        <v>0</v>
      </c>
    </row>
    <row r="114" spans="1:35" s="20" customFormat="1">
      <c r="A114" s="10" t="s">
        <v>385</v>
      </c>
      <c r="B114" s="37"/>
      <c r="C114" s="334">
        <f>SUM(C101:C103)</f>
        <v>145.04849999999999</v>
      </c>
      <c r="D114" s="334">
        <f t="shared" ref="D114:AH114" si="88">SUM(D101:D103)</f>
        <v>148.67306340936662</v>
      </c>
      <c r="E114" s="334">
        <f t="shared" si="88"/>
        <v>145.8020618590611</v>
      </c>
      <c r="F114" s="334">
        <f t="shared" si="88"/>
        <v>146.65332115042261</v>
      </c>
      <c r="G114" s="334">
        <f t="shared" si="88"/>
        <v>135.57740368942643</v>
      </c>
      <c r="H114" s="404">
        <f t="shared" si="88"/>
        <v>126.43970269938364</v>
      </c>
      <c r="I114" s="19">
        <f t="shared" si="88"/>
        <v>134.69093426759247</v>
      </c>
      <c r="J114" s="19">
        <f t="shared" si="88"/>
        <v>133.27961609866787</v>
      </c>
      <c r="K114" s="19">
        <f t="shared" si="88"/>
        <v>135.30713860855741</v>
      </c>
      <c r="L114" s="19">
        <f t="shared" si="88"/>
        <v>134.70441788022691</v>
      </c>
      <c r="M114" s="19">
        <f t="shared" si="88"/>
        <v>133.11019275613654</v>
      </c>
      <c r="N114" s="182">
        <f t="shared" si="88"/>
        <v>131.82063094589626</v>
      </c>
      <c r="O114" s="19">
        <f t="shared" si="88"/>
        <v>129.26269990309254</v>
      </c>
      <c r="P114" s="19">
        <f t="shared" si="88"/>
        <v>128.58449330090338</v>
      </c>
      <c r="Q114" s="19">
        <f t="shared" si="88"/>
        <v>129.32412807107679</v>
      </c>
      <c r="R114" s="19">
        <f t="shared" si="88"/>
        <v>129.97668731673585</v>
      </c>
      <c r="S114" s="19">
        <f t="shared" si="88"/>
        <v>130.72181048790088</v>
      </c>
      <c r="T114" s="19">
        <f t="shared" si="88"/>
        <v>131.08276083017734</v>
      </c>
      <c r="U114" s="19">
        <f t="shared" si="88"/>
        <v>131.60988014470834</v>
      </c>
      <c r="V114" s="19">
        <f t="shared" si="88"/>
        <v>132.11899929547002</v>
      </c>
      <c r="W114" s="19">
        <f t="shared" si="88"/>
        <v>132.72516527038212</v>
      </c>
      <c r="X114" s="182">
        <f t="shared" si="88"/>
        <v>133.3026388003878</v>
      </c>
      <c r="Y114" s="206">
        <f t="shared" si="88"/>
        <v>133.07526166346304</v>
      </c>
      <c r="Z114" s="206">
        <f t="shared" si="88"/>
        <v>132.62824616234221</v>
      </c>
      <c r="AA114" s="206">
        <f t="shared" si="88"/>
        <v>132.43069176394329</v>
      </c>
      <c r="AB114" s="206">
        <f t="shared" si="88"/>
        <v>132.29535146976229</v>
      </c>
      <c r="AC114" s="206">
        <f t="shared" si="88"/>
        <v>132.17144364684884</v>
      </c>
      <c r="AD114" s="206">
        <f t="shared" si="88"/>
        <v>133.13377790750729</v>
      </c>
      <c r="AE114" s="206">
        <f t="shared" si="88"/>
        <v>134.20173717455708</v>
      </c>
      <c r="AF114" s="206">
        <f t="shared" si="88"/>
        <v>134.34574623425547</v>
      </c>
      <c r="AG114" s="206">
        <f t="shared" si="88"/>
        <v>134.31520045184519</v>
      </c>
      <c r="AH114" s="182">
        <f t="shared" si="88"/>
        <v>134.34890764199886</v>
      </c>
      <c r="AI114" s="31"/>
    </row>
    <row r="115" spans="1:35" s="20" customFormat="1">
      <c r="A115" s="10" t="s">
        <v>386</v>
      </c>
      <c r="B115" s="37"/>
      <c r="C115" s="334">
        <f>SUMPRODUCT($B104:$B112,C104:C112)</f>
        <v>378.42270000000002</v>
      </c>
      <c r="D115" s="334">
        <f t="shared" ref="D115:AH115" si="89">SUMPRODUCT($B104:$B112,D104:D112)</f>
        <v>551.99311963624871</v>
      </c>
      <c r="E115" s="334">
        <f t="shared" si="89"/>
        <v>600.2477200439406</v>
      </c>
      <c r="F115" s="334">
        <f t="shared" si="89"/>
        <v>685.12177347348529</v>
      </c>
      <c r="G115" s="334">
        <f t="shared" si="89"/>
        <v>806.18290260034746</v>
      </c>
      <c r="H115" s="404">
        <f t="shared" si="89"/>
        <v>808.68153880155103</v>
      </c>
      <c r="I115" s="19">
        <f t="shared" si="89"/>
        <v>978.18998601802321</v>
      </c>
      <c r="J115" s="19">
        <f t="shared" si="89"/>
        <v>1099.2172065488621</v>
      </c>
      <c r="K115" s="19">
        <f t="shared" si="89"/>
        <v>1267.4198078124793</v>
      </c>
      <c r="L115" s="19">
        <f t="shared" si="89"/>
        <v>1433.2026588393567</v>
      </c>
      <c r="M115" s="19">
        <f t="shared" si="89"/>
        <v>1608.8294792216327</v>
      </c>
      <c r="N115" s="182">
        <f t="shared" si="89"/>
        <v>1810.1016760922168</v>
      </c>
      <c r="O115" s="19">
        <f t="shared" si="89"/>
        <v>1783.1092866623178</v>
      </c>
      <c r="P115" s="19">
        <f t="shared" si="89"/>
        <v>1781.9237788032187</v>
      </c>
      <c r="Q115" s="19">
        <f t="shared" si="89"/>
        <v>1800.4721090769799</v>
      </c>
      <c r="R115" s="19">
        <f t="shared" si="89"/>
        <v>1817.9797494534509</v>
      </c>
      <c r="S115" s="19">
        <f t="shared" si="89"/>
        <v>1836.9557406013489</v>
      </c>
      <c r="T115" s="19">
        <f t="shared" si="89"/>
        <v>1850.689250620725</v>
      </c>
      <c r="U115" s="19">
        <f t="shared" si="89"/>
        <v>1866.9119049397302</v>
      </c>
      <c r="V115" s="19">
        <f t="shared" si="89"/>
        <v>1883.0334874400637</v>
      </c>
      <c r="W115" s="19">
        <f t="shared" si="89"/>
        <v>1900.6992834259781</v>
      </c>
      <c r="X115" s="182">
        <f t="shared" si="89"/>
        <v>1918.1213908961199</v>
      </c>
      <c r="Y115" s="206">
        <f t="shared" si="89"/>
        <v>1941.1057438444857</v>
      </c>
      <c r="Z115" s="206">
        <f t="shared" si="89"/>
        <v>1961.113653581589</v>
      </c>
      <c r="AA115" s="206">
        <f t="shared" si="89"/>
        <v>1985.045849700311</v>
      </c>
      <c r="AB115" s="206">
        <f t="shared" si="89"/>
        <v>2010.2123616536014</v>
      </c>
      <c r="AC115" s="206">
        <f t="shared" si="89"/>
        <v>2035.8730507240796</v>
      </c>
      <c r="AD115" s="206">
        <f t="shared" si="89"/>
        <v>2078.8220511776058</v>
      </c>
      <c r="AE115" s="206">
        <f t="shared" si="89"/>
        <v>2124.2395770085654</v>
      </c>
      <c r="AF115" s="206">
        <f t="shared" si="89"/>
        <v>2155.6879712397881</v>
      </c>
      <c r="AG115" s="206">
        <f t="shared" si="89"/>
        <v>2184.7616972150649</v>
      </c>
      <c r="AH115" s="182">
        <f t="shared" si="89"/>
        <v>2215.2869014188823</v>
      </c>
    </row>
    <row r="116" spans="1:35" s="20" customFormat="1">
      <c r="A116" s="10" t="s">
        <v>142</v>
      </c>
      <c r="B116" s="37"/>
      <c r="C116" s="334">
        <f>C47*Inputs!$C$60</f>
        <v>3268.0339999999997</v>
      </c>
      <c r="D116" s="334">
        <f>D47*Inputs!$C$60</f>
        <v>4732.1436576166498</v>
      </c>
      <c r="E116" s="334">
        <f>E47*Inputs!$C$60</f>
        <v>4658.4111680875176</v>
      </c>
      <c r="F116" s="334">
        <f>F47*Inputs!$C$60</f>
        <v>4663.6990287266035</v>
      </c>
      <c r="G116" s="334">
        <f>G47*Inputs!$C$60</f>
        <v>4308.9207365062994</v>
      </c>
      <c r="H116" s="404">
        <f>H47*Inputs!$C$60</f>
        <v>4483.4140360977481</v>
      </c>
      <c r="I116" s="19">
        <f>I47*Inputs!$C$60</f>
        <v>4778.7521170257342</v>
      </c>
      <c r="J116" s="19">
        <f>J47*Inputs!$C$60</f>
        <v>4696.1904296126422</v>
      </c>
      <c r="K116" s="19">
        <f>K47*Inputs!$C$60</f>
        <v>4732.1058018900076</v>
      </c>
      <c r="L116" s="19">
        <f>L47*Inputs!$C$60</f>
        <v>4657.396837253953</v>
      </c>
      <c r="M116" s="19">
        <f>M47*Inputs!$C$60</f>
        <v>4535.9051083545437</v>
      </c>
      <c r="N116" s="182">
        <f>N47*Inputs!$C$60</f>
        <v>4410.9480123500298</v>
      </c>
      <c r="O116" s="19">
        <f>O47*Inputs!$C$60</f>
        <v>4283.9391920845983</v>
      </c>
      <c r="P116" s="19">
        <f>P47*Inputs!$C$60</f>
        <v>4223.2262609512927</v>
      </c>
      <c r="Q116" s="19">
        <f>Q47*Inputs!$C$60</f>
        <v>4212.6976946379646</v>
      </c>
      <c r="R116" s="19">
        <f>R47*Inputs!$C$60</f>
        <v>4200.676158623809</v>
      </c>
      <c r="S116" s="19">
        <f>S47*Inputs!$C$60</f>
        <v>4190.6051225787696</v>
      </c>
      <c r="T116" s="19">
        <f>T47*Inputs!$C$60</f>
        <v>4166.8258741021764</v>
      </c>
      <c r="U116" s="19">
        <f>U47*Inputs!$C$60</f>
        <v>4149.7686873556331</v>
      </c>
      <c r="V116" s="19">
        <f>V47*Inputs!$C$60</f>
        <v>4132.5662178342145</v>
      </c>
      <c r="W116" s="19">
        <f>W47*Inputs!$C$60</f>
        <v>4117.1285603671504</v>
      </c>
      <c r="X116" s="182">
        <f>X47*Inputs!$C$60</f>
        <v>4100.9636301226783</v>
      </c>
      <c r="Y116" s="206">
        <f>Y47*Inputs!$C$60</f>
        <v>4081.4522041701011</v>
      </c>
      <c r="Z116" s="206">
        <f>Z47*Inputs!$C$60</f>
        <v>4052.5690060505267</v>
      </c>
      <c r="AA116" s="206">
        <f>AA47*Inputs!$C$60</f>
        <v>4032.6675913005556</v>
      </c>
      <c r="AB116" s="206">
        <f>AB47*Inputs!$C$60</f>
        <v>4015.0170751316095</v>
      </c>
      <c r="AC116" s="206">
        <f>AC47*Inputs!$C$60</f>
        <v>3997.3863459520226</v>
      </c>
      <c r="AD116" s="206">
        <f>AD47*Inputs!$C$60</f>
        <v>4014.5139917991933</v>
      </c>
      <c r="AE116" s="206">
        <f>AE47*Inputs!$C$60</f>
        <v>4033.94793280162</v>
      </c>
      <c r="AF116" s="206">
        <f>AF47*Inputs!$C$60</f>
        <v>4023.508169760682</v>
      </c>
      <c r="AG116" s="206">
        <f>AG47*Inputs!$C$60</f>
        <v>4006.1995978621153</v>
      </c>
      <c r="AH116" s="182">
        <f>AH47*Inputs!$C$60</f>
        <v>3990.8633114599929</v>
      </c>
      <c r="AI116" s="31"/>
    </row>
    <row r="117" spans="1:35" s="20" customFormat="1">
      <c r="A117" s="10" t="s">
        <v>222</v>
      </c>
      <c r="B117" s="37"/>
      <c r="C117" s="334">
        <f>C48*Inputs!$C$61</f>
        <v>1400.586</v>
      </c>
      <c r="D117" s="334">
        <f>D48*Inputs!$C$61</f>
        <v>50.528158253565856</v>
      </c>
      <c r="E117" s="334">
        <f>E48*Inputs!$C$61</f>
        <v>27.029281051910729</v>
      </c>
      <c r="F117" s="334">
        <f>F48*Inputs!$C$61</f>
        <v>32.320594977834553</v>
      </c>
      <c r="G117" s="334">
        <f>G48*Inputs!$C$61</f>
        <v>39.885670005007199</v>
      </c>
      <c r="H117" s="404">
        <f>H48*Inputs!$C$61</f>
        <v>39.162307726878865</v>
      </c>
      <c r="I117" s="19">
        <f>I48*Inputs!$C$61</f>
        <v>24.92161712945439</v>
      </c>
      <c r="J117" s="19">
        <f>J48*Inputs!$C$61</f>
        <v>26.631361806674466</v>
      </c>
      <c r="K117" s="19">
        <f>K48*Inputs!$C$61</f>
        <v>25.888184852712801</v>
      </c>
      <c r="L117" s="19">
        <f>L48*Inputs!$C$61</f>
        <v>27.949409264506247</v>
      </c>
      <c r="M117" s="19">
        <f>M48*Inputs!$C$61</f>
        <v>28.353173680060134</v>
      </c>
      <c r="N117" s="182">
        <f>N48*Inputs!$C$61</f>
        <v>28.740294400352795</v>
      </c>
      <c r="O117" s="19">
        <f>O48*Inputs!$C$61</f>
        <v>33.061088915374278</v>
      </c>
      <c r="P117" s="19">
        <f>P48*Inputs!$C$61</f>
        <v>37.019809028894599</v>
      </c>
      <c r="Q117" s="19">
        <f>Q48*Inputs!$C$61</f>
        <v>39.55712534526392</v>
      </c>
      <c r="R117" s="19">
        <f>R48*Inputs!$C$61</f>
        <v>40.485855750405314</v>
      </c>
      <c r="S117" s="19">
        <f>S48*Inputs!$C$61</f>
        <v>42.44756034545069</v>
      </c>
      <c r="T117" s="19">
        <f>T48*Inputs!$C$61</f>
        <v>45.186154176618146</v>
      </c>
      <c r="U117" s="19">
        <f>U48*Inputs!$C$61</f>
        <v>46.718876745624947</v>
      </c>
      <c r="V117" s="19">
        <f>V48*Inputs!$C$61</f>
        <v>47.745842780261299</v>
      </c>
      <c r="W117" s="19">
        <f>W48*Inputs!$C$61</f>
        <v>50.112211829923183</v>
      </c>
      <c r="X117" s="182">
        <f>X48*Inputs!$C$61</f>
        <v>52.181349222936475</v>
      </c>
      <c r="Y117" s="206">
        <f>Y48*Inputs!$C$61</f>
        <v>51.966233189478295</v>
      </c>
      <c r="Z117" s="206">
        <f>Z48*Inputs!$C$61</f>
        <v>53.890593063500127</v>
      </c>
      <c r="AA117" s="206">
        <f>AA48*Inputs!$C$61</f>
        <v>54.670948693250246</v>
      </c>
      <c r="AB117" s="206">
        <f>AB48*Inputs!$C$61</f>
        <v>54.991486001092269</v>
      </c>
      <c r="AC117" s="206">
        <f>AC48*Inputs!$C$61</f>
        <v>55.446941941301851</v>
      </c>
      <c r="AD117" s="206">
        <f>AD48*Inputs!$C$61</f>
        <v>55.360691115158552</v>
      </c>
      <c r="AE117" s="206">
        <f>AE48*Inputs!$C$61</f>
        <v>55.870664724867964</v>
      </c>
      <c r="AF117" s="206">
        <f>AF48*Inputs!$C$61</f>
        <v>56.68812264563843</v>
      </c>
      <c r="AG117" s="206">
        <f>AG48*Inputs!$C$61</f>
        <v>58.61321421596935</v>
      </c>
      <c r="AH117" s="182">
        <f>AH48*Inputs!$C$61</f>
        <v>60.328702986470596</v>
      </c>
      <c r="AI117" s="31"/>
    </row>
    <row r="118" spans="1:35" s="20" customFormat="1">
      <c r="A118" s="10" t="s">
        <v>58</v>
      </c>
      <c r="B118" s="37"/>
      <c r="C118" s="334">
        <f>SUM(C113,C116,C117)</f>
        <v>5192.0911999999998</v>
      </c>
      <c r="D118" s="334">
        <f>SUM(D113,D116,D117)</f>
        <v>5483.3379989158311</v>
      </c>
      <c r="E118" s="334">
        <f t="shared" ref="E118:AH118" si="90">SUM(E113,E116,E117)</f>
        <v>5431.4902310424295</v>
      </c>
      <c r="F118" s="334">
        <f t="shared" si="90"/>
        <v>5527.7947183283459</v>
      </c>
      <c r="G118" s="334">
        <f t="shared" si="90"/>
        <v>5290.5667128010809</v>
      </c>
      <c r="H118" s="404">
        <f t="shared" si="90"/>
        <v>5457.6975853255617</v>
      </c>
      <c r="I118" s="19">
        <f t="shared" si="90"/>
        <v>5916.5546544408044</v>
      </c>
      <c r="J118" s="19">
        <f t="shared" si="90"/>
        <v>5955.3186140668467</v>
      </c>
      <c r="K118" s="19">
        <f t="shared" si="90"/>
        <v>6160.7209331637569</v>
      </c>
      <c r="L118" s="19">
        <f t="shared" si="90"/>
        <v>6253.2533232380429</v>
      </c>
      <c r="M118" s="19">
        <f t="shared" si="90"/>
        <v>6306.197954012373</v>
      </c>
      <c r="N118" s="182">
        <f t="shared" si="90"/>
        <v>6381.6106137884954</v>
      </c>
      <c r="O118" s="19">
        <f t="shared" si="90"/>
        <v>6229.3722675653826</v>
      </c>
      <c r="P118" s="19">
        <f t="shared" si="90"/>
        <v>6170.7543420843094</v>
      </c>
      <c r="Q118" s="19">
        <f t="shared" si="90"/>
        <v>6182.0510571312843</v>
      </c>
      <c r="R118" s="19">
        <f t="shared" si="90"/>
        <v>6189.1184511444008</v>
      </c>
      <c r="S118" s="19">
        <f t="shared" si="90"/>
        <v>6200.7302340134702</v>
      </c>
      <c r="T118" s="19">
        <f t="shared" si="90"/>
        <v>6193.7840397296968</v>
      </c>
      <c r="U118" s="19">
        <f t="shared" si="90"/>
        <v>6195.009349185696</v>
      </c>
      <c r="V118" s="19">
        <f t="shared" si="90"/>
        <v>6195.4645473500095</v>
      </c>
      <c r="W118" s="19">
        <f t="shared" si="90"/>
        <v>6200.6652208934347</v>
      </c>
      <c r="X118" s="182">
        <f t="shared" si="90"/>
        <v>6204.5690090421222</v>
      </c>
      <c r="Y118" s="206">
        <f t="shared" si="90"/>
        <v>6207.5994428675276</v>
      </c>
      <c r="Z118" s="206">
        <f t="shared" si="90"/>
        <v>6200.2014988579585</v>
      </c>
      <c r="AA118" s="206">
        <f t="shared" si="90"/>
        <v>6204.8150814580604</v>
      </c>
      <c r="AB118" s="206">
        <f t="shared" si="90"/>
        <v>6212.516274256066</v>
      </c>
      <c r="AC118" s="206">
        <f t="shared" si="90"/>
        <v>6220.8777822642533</v>
      </c>
      <c r="AD118" s="206">
        <f t="shared" si="90"/>
        <v>6281.8305119994648</v>
      </c>
      <c r="AE118" s="206">
        <f t="shared" si="90"/>
        <v>6348.2599117096106</v>
      </c>
      <c r="AF118" s="206">
        <f t="shared" si="90"/>
        <v>6370.2300098803635</v>
      </c>
      <c r="AG118" s="206">
        <f t="shared" si="90"/>
        <v>6383.8897097449953</v>
      </c>
      <c r="AH118" s="182">
        <f t="shared" si="90"/>
        <v>6400.827823507344</v>
      </c>
      <c r="AI118" s="31"/>
    </row>
    <row r="119" spans="1:35" s="1" customFormat="1">
      <c r="A119" s="1" t="s">
        <v>335</v>
      </c>
      <c r="B119" s="13"/>
      <c r="C119" s="341">
        <f>C118-'Output - Jobs vs Yr (BAU)'!C55</f>
        <v>0</v>
      </c>
      <c r="D119" s="341">
        <f>D118-'Output - Jobs vs Yr (BAU)'!D55</f>
        <v>-1.3132010841682131</v>
      </c>
      <c r="E119" s="341">
        <f>E118-'Output - Jobs vs Yr (BAU)'!E55</f>
        <v>-3.8301312468629476</v>
      </c>
      <c r="F119" s="341">
        <f>F118-'Output - Jobs vs Yr (BAU)'!F55</f>
        <v>-1.0394667497557748</v>
      </c>
      <c r="G119" s="341">
        <f>G118-'Output - Jobs vs Yr (BAU)'!G55</f>
        <v>3.1364720974306692</v>
      </c>
      <c r="H119" s="405">
        <f>H118-'Output - Jobs vs Yr (BAU)'!H55</f>
        <v>-0.11329999999907159</v>
      </c>
      <c r="I119" s="15">
        <f>I118-'Output - Jobs vs Yr (BAU)'!I55</f>
        <v>41.287165510740124</v>
      </c>
      <c r="J119" s="15">
        <f>J118-'Output - Jobs vs Yr (BAU)'!J55</f>
        <v>71.480111000264515</v>
      </c>
      <c r="K119" s="15">
        <f>K118-'Output - Jobs vs Yr (BAU)'!K55</f>
        <v>130.83402987076443</v>
      </c>
      <c r="L119" s="15">
        <f>L118-'Output - Jobs vs Yr (BAU)'!L55</f>
        <v>189.23546188534146</v>
      </c>
      <c r="M119" s="15">
        <f>M118-'Output - Jobs vs Yr (BAU)'!M55</f>
        <v>250.70621324937292</v>
      </c>
      <c r="N119" s="182">
        <f>N118-'Output - Jobs vs Yr (BAU)'!N55</f>
        <v>321.29638798137785</v>
      </c>
      <c r="O119" s="15">
        <f>O118-'Output - Jobs vs Yr (BAU)'!O55</f>
        <v>310.79747995830257</v>
      </c>
      <c r="P119" s="15">
        <f>P118-'Output - Jobs vs Yr (BAU)'!P55</f>
        <v>309.98488851327875</v>
      </c>
      <c r="Q119" s="15">
        <f>Q118-'Output - Jobs vs Yr (BAU)'!Q55</f>
        <v>316.6881625547876</v>
      </c>
      <c r="R119" s="15">
        <f>R118-'Output - Jobs vs Yr (BAU)'!R55</f>
        <v>322.93682541376893</v>
      </c>
      <c r="S119" s="15">
        <f>S118-'Output - Jobs vs Yr (BAU)'!S55</f>
        <v>329.41694797683158</v>
      </c>
      <c r="T119" s="15">
        <f>T118-'Output - Jobs vs Yr (BAU)'!T55</f>
        <v>333.77204025549963</v>
      </c>
      <c r="U119" s="15">
        <f>U118-'Output - Jobs vs Yr (BAU)'!U55</f>
        <v>339.07271322953875</v>
      </c>
      <c r="V119" s="15">
        <f>V118-'Output - Jobs vs Yr (BAU)'!V55</f>
        <v>344.57752161017925</v>
      </c>
      <c r="W119" s="15">
        <f>W118-'Output - Jobs vs Yr (BAU)'!W55</f>
        <v>350.56771478668452</v>
      </c>
      <c r="X119" s="190">
        <f>X118-'Output - Jobs vs Yr (BAU)'!X55</f>
        <v>356.38020871619028</v>
      </c>
      <c r="Y119" s="130">
        <f>Y118-'Output - Jobs vs Yr (BAU)'!Y55</f>
        <v>363.81356089545534</v>
      </c>
      <c r="Z119" s="130">
        <f>Z118-'Output - Jobs vs Yr (BAU)'!Z55</f>
        <v>370.1895502141133</v>
      </c>
      <c r="AA119" s="130">
        <f>AA118-'Output - Jobs vs Yr (BAU)'!AA55</f>
        <v>377.98892677851745</v>
      </c>
      <c r="AB119" s="130">
        <f>AB118-'Output - Jobs vs Yr (BAU)'!AB55</f>
        <v>384.69607996123796</v>
      </c>
      <c r="AC119" s="130">
        <f>AC118-'Output - Jobs vs Yr (BAU)'!AC55</f>
        <v>392.13526049944358</v>
      </c>
      <c r="AD119" s="130">
        <f>AD118-'Output - Jobs vs Yr (BAU)'!AD55</f>
        <v>380.78889476397853</v>
      </c>
      <c r="AE119" s="130">
        <f>AE118-'Output - Jobs vs Yr (BAU)'!AE55</f>
        <v>366.29843132201222</v>
      </c>
      <c r="AF119" s="130">
        <f>AF118-'Output - Jobs vs Yr (BAU)'!AF55</f>
        <v>368.91548731047806</v>
      </c>
      <c r="AG119" s="130">
        <f>AG118-'Output - Jobs vs Yr (BAU)'!AG55</f>
        <v>375.90033932929055</v>
      </c>
      <c r="AH119" s="190">
        <f>AH118-'Output - Jobs vs Yr (BAU)'!AH55</f>
        <v>381.340203582914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1015.0221899137564</v>
      </c>
    </row>
    <row r="124" spans="1:35" hidden="1">
      <c r="W124" s="2" t="s">
        <v>137</v>
      </c>
      <c r="X124" s="187">
        <f>SUM(X101,X106,X111)</f>
        <v>0</v>
      </c>
    </row>
    <row r="125" spans="1:35" hidden="1">
      <c r="W125" s="2" t="s">
        <v>132</v>
      </c>
      <c r="X125" s="187">
        <f>SUM(X121:X124)</f>
        <v>1015.0221899137564</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130.54364999999999</v>
      </c>
      <c r="D129" s="331">
        <f>D102*Inputs!$H48</f>
        <v>133.80575706842995</v>
      </c>
      <c r="E129" s="331">
        <f>E102*Inputs!$H48</f>
        <v>131.22185567315501</v>
      </c>
      <c r="F129" s="331">
        <f>F102*Inputs!$H48</f>
        <v>131.98798903538037</v>
      </c>
      <c r="G129" s="331">
        <f>G102*Inputs!$H48</f>
        <v>122.01966332048379</v>
      </c>
      <c r="H129" s="402">
        <f>H102*Inputs!$H48</f>
        <v>113.79573242944528</v>
      </c>
      <c r="I129" s="14">
        <f>I102*Inputs!$H48</f>
        <v>121.22184084083322</v>
      </c>
      <c r="J129" s="14">
        <f>J102*Inputs!$H48</f>
        <v>119.95165448880108</v>
      </c>
      <c r="K129" s="14">
        <f>K102*Inputs!$H48</f>
        <v>121.77642474770167</v>
      </c>
      <c r="L129" s="14">
        <f>L102*Inputs!$H48</f>
        <v>121.23397609220423</v>
      </c>
      <c r="M129" s="14">
        <f>M102*Inputs!$H48</f>
        <v>119.7991734805229</v>
      </c>
      <c r="N129" s="182">
        <f>N102*Inputs!$H48</f>
        <v>118.63856785130663</v>
      </c>
      <c r="O129" s="14">
        <f>O102*Inputs!$H48</f>
        <v>116.33642991278329</v>
      </c>
      <c r="P129" s="14">
        <f>P102*Inputs!$H48</f>
        <v>115.72604397081304</v>
      </c>
      <c r="Q129" s="14">
        <f>Q102*Inputs!$H48</f>
        <v>116.3917152639691</v>
      </c>
      <c r="R129" s="14">
        <f>R102*Inputs!$H48</f>
        <v>116.97901858506226</v>
      </c>
      <c r="S129" s="14">
        <f>S102*Inputs!$H48</f>
        <v>117.6496294391108</v>
      </c>
      <c r="T129" s="14">
        <f>T102*Inputs!$H48</f>
        <v>117.97448474715961</v>
      </c>
      <c r="U129" s="14">
        <f>U102*Inputs!$H48</f>
        <v>118.44889213023751</v>
      </c>
      <c r="V129" s="14">
        <f>V102*Inputs!$H48</f>
        <v>118.90709936592302</v>
      </c>
      <c r="W129" s="14">
        <f>W102*Inputs!$H48</f>
        <v>119.45264874334391</v>
      </c>
      <c r="X129" s="187">
        <f>X102*Inputs!$H48</f>
        <v>119.97237492034903</v>
      </c>
      <c r="Y129" s="158">
        <f>Y102*Inputs!$H48</f>
        <v>119.76773549711673</v>
      </c>
      <c r="Z129" s="158">
        <f>Z102*Inputs!$H48</f>
        <v>119.365421546108</v>
      </c>
      <c r="AA129" s="158">
        <f>AA102*Inputs!$H48</f>
        <v>119.18762258754896</v>
      </c>
      <c r="AB129" s="158">
        <f>AB102*Inputs!$H48</f>
        <v>119.06581632278606</v>
      </c>
      <c r="AC129" s="158">
        <f>AC102*Inputs!$H48</f>
        <v>118.95429928216396</v>
      </c>
      <c r="AD129" s="158">
        <f>AD102*Inputs!$H48</f>
        <v>119.82040011675657</v>
      </c>
      <c r="AE129" s="158">
        <f>AE102*Inputs!$H48</f>
        <v>120.78156345710137</v>
      </c>
      <c r="AF129" s="158">
        <f>AF102*Inputs!$H48</f>
        <v>120.91117161082992</v>
      </c>
      <c r="AG129" s="158">
        <f>AG102*Inputs!$H48</f>
        <v>120.88368040666067</v>
      </c>
      <c r="AH129" s="187">
        <f>AH102*Inputs!$H48</f>
        <v>120.91401687779899</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0</v>
      </c>
      <c r="D131" s="330">
        <f>Inputs!$H46*'Output -Jobs vs Yr'!D104</f>
        <v>0</v>
      </c>
      <c r="E131" s="330">
        <f>Inputs!$H46*'Output -Jobs vs Yr'!E104</f>
        <v>4.9232534399999998E-4</v>
      </c>
      <c r="F131" s="330">
        <f>Inputs!$H46*'Output -Jobs vs Yr'!F104</f>
        <v>4.7658806999999995E-4</v>
      </c>
      <c r="G131" s="330">
        <f>Inputs!$H46*'Output -Jobs vs Yr'!G104</f>
        <v>4.6840588199999992E-4</v>
      </c>
      <c r="H131" s="286">
        <f>Inputs!$H46*'Output -Jobs vs Yr'!H104</f>
        <v>5.0055856200000005E-4</v>
      </c>
      <c r="I131" s="40">
        <f>Inputs!$H46*'Output -Jobs vs Yr'!I104</f>
        <v>6.4558019752337643E-4</v>
      </c>
      <c r="J131" s="40">
        <f>Inputs!$H46*'Output -Jobs vs Yr'!J104</f>
        <v>7.7349964557918394E-4</v>
      </c>
      <c r="K131" s="40">
        <f>Inputs!$H46*'Output -Jobs vs Yr'!K104</f>
        <v>9.5092594038302723E-4</v>
      </c>
      <c r="L131" s="40">
        <f>Inputs!$H46*'Output -Jobs vs Yr'!L104</f>
        <v>1.1465246670032141E-3</v>
      </c>
      <c r="M131" s="40">
        <f>Inputs!$H46*'Output -Jobs vs Yr'!M104</f>
        <v>1.3722568114960473E-3</v>
      </c>
      <c r="N131" s="177">
        <f>Inputs!$H46*'Output -Jobs vs Yr'!N104</f>
        <v>1.6461822729037176E-3</v>
      </c>
      <c r="O131" s="40">
        <f>Inputs!$H46*'Output -Jobs vs Yr'!O104</f>
        <v>1.6216342634909316E-3</v>
      </c>
      <c r="P131" s="40">
        <f>Inputs!$H46*'Output -Jobs vs Yr'!P104</f>
        <v>1.6205561129937452E-3</v>
      </c>
      <c r="Q131" s="40">
        <f>Inputs!$H46*'Output -Jobs vs Yr'!Q104</f>
        <v>1.6374247413652452E-3</v>
      </c>
      <c r="R131" s="40">
        <f>Inputs!$H46*'Output -Jobs vs Yr'!R104</f>
        <v>1.6533469227591328E-3</v>
      </c>
      <c r="S131" s="40">
        <f>Inputs!$H46*'Output -Jobs vs Yr'!S104</f>
        <v>1.6706044838403901E-3</v>
      </c>
      <c r="T131" s="40">
        <f>Inputs!$H46*'Output -Jobs vs Yr'!T104</f>
        <v>1.6830943130236044E-3</v>
      </c>
      <c r="U131" s="40">
        <f>Inputs!$H46*'Output -Jobs vs Yr'!U104</f>
        <v>1.6978478742804754E-3</v>
      </c>
      <c r="V131" s="40">
        <f>Inputs!$H46*'Output -Jobs vs Yr'!V104</f>
        <v>1.712509516592469E-3</v>
      </c>
      <c r="W131" s="40">
        <f>Inputs!$H46*'Output -Jobs vs Yr'!W104</f>
        <v>1.7285755313212812E-3</v>
      </c>
      <c r="X131" s="184">
        <f>Inputs!$H46*'Output -Jobs vs Yr'!X104</f>
        <v>1.7444199255079579E-3</v>
      </c>
      <c r="Y131" s="271">
        <f>Inputs!$H46*'Output -Jobs vs Yr'!Y104</f>
        <v>1.7653226766356815E-3</v>
      </c>
      <c r="Z131" s="271">
        <f>Inputs!$H46*'Output -Jobs vs Yr'!Z104</f>
        <v>1.7835183428117506E-3</v>
      </c>
      <c r="AA131" s="271">
        <f>Inputs!$H46*'Output -Jobs vs Yr'!AA104</f>
        <v>1.8052829783532223E-3</v>
      </c>
      <c r="AB131" s="271">
        <f>Inputs!$H46*'Output -Jobs vs Yr'!AB104</f>
        <v>1.8281701535485511E-3</v>
      </c>
      <c r="AC131" s="271">
        <f>Inputs!$H46*'Output -Jobs vs Yr'!AC104</f>
        <v>1.8515070017430071E-3</v>
      </c>
      <c r="AD131" s="271">
        <f>Inputs!$H46*'Output -Jobs vs Yr'!AD104</f>
        <v>1.8905666020403626E-3</v>
      </c>
      <c r="AE131" s="271">
        <f>Inputs!$H46*'Output -Jobs vs Yr'!AE104</f>
        <v>1.9318712049887271E-3</v>
      </c>
      <c r="AF131" s="271">
        <f>Inputs!$H46*'Output -Jobs vs Yr'!AF104</f>
        <v>1.9604716396865612E-3</v>
      </c>
      <c r="AG131" s="271">
        <f>Inputs!$H46*'Output -Jobs vs Yr'!AG104</f>
        <v>1.9869124359918043E-3</v>
      </c>
      <c r="AH131" s="184">
        <f>Inputs!$H46*'Output -Jobs vs Yr'!AH104</f>
        <v>2.0146746863328032E-3</v>
      </c>
    </row>
    <row r="132" spans="1:35">
      <c r="A132" s="10" t="s">
        <v>50</v>
      </c>
      <c r="B132" s="35">
        <v>1</v>
      </c>
      <c r="C132" s="331">
        <f>C105*Inputs!$H49</f>
        <v>0</v>
      </c>
      <c r="D132" s="331">
        <f>D105*Inputs!$H49</f>
        <v>0</v>
      </c>
      <c r="E132" s="331">
        <f>E105*Inputs!$H49</f>
        <v>4.3965000000000003E-4</v>
      </c>
      <c r="F132" s="331">
        <f>F105*Inputs!$H49</f>
        <v>4.572E-4</v>
      </c>
      <c r="G132" s="331">
        <f>G105*Inputs!$H49</f>
        <v>5.4307687499999995E-4</v>
      </c>
      <c r="H132" s="402">
        <f>H105*Inputs!$H49</f>
        <v>5.9240745000000003E-4</v>
      </c>
      <c r="I132" s="14">
        <f>I105*Inputs!$H49</f>
        <v>7.9768119389610648E-4</v>
      </c>
      <c r="J132" s="14">
        <f>J105*Inputs!$H49</f>
        <v>9.9782138553822599E-4</v>
      </c>
      <c r="K132" s="14">
        <f>K105*Inputs!$H49</f>
        <v>1.2807162470563199E-3</v>
      </c>
      <c r="L132" s="14">
        <f>L105*Inputs!$H49</f>
        <v>1.6121415185850094E-3</v>
      </c>
      <c r="M132" s="14">
        <f>M105*Inputs!$H49</f>
        <v>2.0145065827223575E-3</v>
      </c>
      <c r="N132" s="182">
        <f>N105*Inputs!$H49</f>
        <v>2.5230435797349345E-3</v>
      </c>
      <c r="O132" s="14">
        <f>O105*Inputs!$H49</f>
        <v>2.4854197402830874E-3</v>
      </c>
      <c r="P132" s="14">
        <f>P105*Inputs!$H49</f>
        <v>2.4837672983058596E-3</v>
      </c>
      <c r="Q132" s="14">
        <f>Q105*Inputs!$H49</f>
        <v>2.5096212302866579E-3</v>
      </c>
      <c r="R132" s="14">
        <f>R105*Inputs!$H49</f>
        <v>2.5340245774751568E-3</v>
      </c>
      <c r="S132" s="14">
        <f>S105*Inputs!$H49</f>
        <v>2.5604746124467679E-3</v>
      </c>
      <c r="T132" s="14">
        <f>T105*Inputs!$H49</f>
        <v>2.5796173184832699E-3</v>
      </c>
      <c r="U132" s="14">
        <f>U105*Inputs!$H49</f>
        <v>2.602229564174456E-3</v>
      </c>
      <c r="V132" s="14">
        <f>V105*Inputs!$H49</f>
        <v>2.6247009290485258E-3</v>
      </c>
      <c r="W132" s="14">
        <f>W105*Inputs!$H49</f>
        <v>2.6493247243479104E-3</v>
      </c>
      <c r="X132" s="187">
        <f>X105*Inputs!$H49</f>
        <v>2.6736088499186321E-3</v>
      </c>
      <c r="Y132" s="158">
        <f>Y105*Inputs!$H49</f>
        <v>2.8858043249999996E-3</v>
      </c>
      <c r="Z132" s="158">
        <f>Z105*Inputs!$H49</f>
        <v>3.27479175E-3</v>
      </c>
      <c r="AA132" s="158">
        <f>AA105*Inputs!$H49</f>
        <v>3.6108841500000002E-3</v>
      </c>
      <c r="AB132" s="158">
        <f>AB105*Inputs!$H49</f>
        <v>3.9475691999999998E-3</v>
      </c>
      <c r="AC132" s="158">
        <f>AC105*Inputs!$H49</f>
        <v>4.0398821999999999E-3</v>
      </c>
      <c r="AD132" s="158">
        <f>AD105*Inputs!$H49</f>
        <v>4.119002775E-3</v>
      </c>
      <c r="AE132" s="158">
        <f>AE105*Inputs!$H49</f>
        <v>4.1795068500000004E-3</v>
      </c>
      <c r="AF132" s="158">
        <f>AF105*Inputs!$H49</f>
        <v>4.2749034749999994E-3</v>
      </c>
      <c r="AG132" s="158">
        <f>AG105*Inputs!$H49</f>
        <v>4.3824552749999997E-3</v>
      </c>
      <c r="AH132" s="187">
        <f>AH105*Inputs!$H49</f>
        <v>3.0878184732486044E-3</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0</v>
      </c>
      <c r="D134" s="331">
        <f>D107*Inputs!$H52</f>
        <v>0</v>
      </c>
      <c r="E134" s="331">
        <f>E107*Inputs!$H52</f>
        <v>9.3185829000000004E-5</v>
      </c>
      <c r="F134" s="331">
        <f>F107*Inputs!$H52</f>
        <v>1.0936475550000001E-4</v>
      </c>
      <c r="G134" s="331">
        <f>G107*Inputs!$H52</f>
        <v>1.3049036550000001E-4</v>
      </c>
      <c r="H134" s="402">
        <f>H107*Inputs!$H52</f>
        <v>1.166311575E-4</v>
      </c>
      <c r="I134" s="14">
        <f>I107*Inputs!$H52</f>
        <v>1.4376937700734952E-4</v>
      </c>
      <c r="J134" s="14">
        <f>J107*Inputs!$H52</f>
        <v>1.646390336893743E-4</v>
      </c>
      <c r="K134" s="14">
        <f>K107*Inputs!$H52</f>
        <v>1.9345318445288814E-4</v>
      </c>
      <c r="L134" s="14">
        <f>L107*Inputs!$H52</f>
        <v>2.2293029472067257E-4</v>
      </c>
      <c r="M134" s="14">
        <f>M107*Inputs!$H52</f>
        <v>2.5502196132120252E-4</v>
      </c>
      <c r="N134" s="182">
        <f>N107*Inputs!$H52</f>
        <v>2.9239948671911547E-4</v>
      </c>
      <c r="O134" s="14">
        <f>O107*Inputs!$H52</f>
        <v>2.88039200819782E-4</v>
      </c>
      <c r="P134" s="14">
        <f>P107*Inputs!$H52</f>
        <v>2.8784769672137665E-4</v>
      </c>
      <c r="Q134" s="14">
        <f>Q107*Inputs!$H52</f>
        <v>2.9084394954141337E-4</v>
      </c>
      <c r="R134" s="14">
        <f>R107*Inputs!$H52</f>
        <v>2.9367209180952881E-4</v>
      </c>
      <c r="S134" s="14">
        <f>S107*Inputs!$H52</f>
        <v>2.9673742794225394E-4</v>
      </c>
      <c r="T134" s="14">
        <f>T107*Inputs!$H52</f>
        <v>2.9895590623745498E-4</v>
      </c>
      <c r="U134" s="14">
        <f>U107*Inputs!$H52</f>
        <v>3.0157647493740745E-4</v>
      </c>
      <c r="V134" s="14">
        <f>V107*Inputs!$H52</f>
        <v>3.0418071673799744E-4</v>
      </c>
      <c r="W134" s="14">
        <f>W107*Inputs!$H52</f>
        <v>3.0703440708423115E-4</v>
      </c>
      <c r="X134" s="187">
        <f>X107*Inputs!$H52</f>
        <v>3.0984873257164375E-4</v>
      </c>
      <c r="Y134" s="158">
        <f>Y107*Inputs!$H52</f>
        <v>3.1356153752730816E-4</v>
      </c>
      <c r="Z134" s="158">
        <f>Z107*Inputs!$H52</f>
        <v>3.1679350250346478E-4</v>
      </c>
      <c r="AA134" s="158">
        <f>AA107*Inputs!$H52</f>
        <v>3.2065939777260142E-4</v>
      </c>
      <c r="AB134" s="158">
        <f>AB107*Inputs!$H52</f>
        <v>3.2472468166595798E-4</v>
      </c>
      <c r="AC134" s="158">
        <f>AC107*Inputs!$H52</f>
        <v>3.2886983773161311E-4</v>
      </c>
      <c r="AD134" s="158">
        <f>AD107*Inputs!$H52</f>
        <v>3.358077128784855E-4</v>
      </c>
      <c r="AE134" s="158">
        <f>AE107*Inputs!$H52</f>
        <v>3.4314435165782019E-4</v>
      </c>
      <c r="AF134" s="158">
        <f>AF107*Inputs!$H52</f>
        <v>3.4822444063899909E-4</v>
      </c>
      <c r="AG134" s="158">
        <f>AG107*Inputs!$H52</f>
        <v>3.5292092862538742E-4</v>
      </c>
      <c r="AH134" s="187">
        <f>AH107*Inputs!$H52</f>
        <v>3.5785213696330547E-4</v>
      </c>
    </row>
    <row r="135" spans="1:35">
      <c r="A135" s="9" t="s">
        <v>347</v>
      </c>
      <c r="B135" s="35">
        <v>1</v>
      </c>
      <c r="C135" s="331">
        <f>C108*Inputs!$H54</f>
        <v>0</v>
      </c>
      <c r="D135" s="331">
        <f>D108*Inputs!$H54</f>
        <v>0</v>
      </c>
      <c r="E135" s="331">
        <f>E108*Inputs!$H54</f>
        <v>1.4220000000000002E-2</v>
      </c>
      <c r="F135" s="331">
        <f>F108*Inputs!$H54</f>
        <v>1.4220000000000002E-2</v>
      </c>
      <c r="G135" s="331">
        <f>G108*Inputs!$H54</f>
        <v>1.4220000000000002E-2</v>
      </c>
      <c r="H135" s="402">
        <f>H108*Inputs!$H54</f>
        <v>1.4220000000000002E-2</v>
      </c>
      <c r="I135" s="14">
        <f>I108*Inputs!$H54</f>
        <v>1.6904198062712289E-2</v>
      </c>
      <c r="J135" s="14">
        <f>J108*Inputs!$H54</f>
        <v>1.8668273778671671E-2</v>
      </c>
      <c r="K135" s="14">
        <f>K108*Inputs!$H54</f>
        <v>2.1153898061468255E-2</v>
      </c>
      <c r="L135" s="14">
        <f>L108*Inputs!$H54</f>
        <v>2.3508601026591906E-2</v>
      </c>
      <c r="M135" s="14">
        <f>M108*Inputs!$H54</f>
        <v>2.5934533945619821E-2</v>
      </c>
      <c r="N135" s="182">
        <f>N108*Inputs!$H54</f>
        <v>2.867613680107698E-2</v>
      </c>
      <c r="O135" s="14">
        <f>O108*Inputs!$H54</f>
        <v>2.8248515821491571E-2</v>
      </c>
      <c r="P135" s="14">
        <f>P108*Inputs!$H54</f>
        <v>2.8229734674556403E-2</v>
      </c>
      <c r="Q135" s="14">
        <f>Q108*Inputs!$H54</f>
        <v>2.8523582508292598E-2</v>
      </c>
      <c r="R135" s="14">
        <f>R108*Inputs!$H54</f>
        <v>2.880094344173121E-2</v>
      </c>
      <c r="S135" s="14">
        <f>S108*Inputs!$H54</f>
        <v>2.9101566398596217E-2</v>
      </c>
      <c r="T135" s="14">
        <f>T108*Inputs!$H54</f>
        <v>2.931913650378766E-2</v>
      </c>
      <c r="U135" s="14">
        <f>U108*Inputs!$H54</f>
        <v>2.9576140328861557E-2</v>
      </c>
      <c r="V135" s="14">
        <f>V108*Inputs!$H54</f>
        <v>2.9831542945927509E-2</v>
      </c>
      <c r="W135" s="14">
        <f>W108*Inputs!$H54</f>
        <v>3.0111409424746341E-2</v>
      </c>
      <c r="X135" s="187">
        <f>X108*Inputs!$H54</f>
        <v>3.0387415321970545E-2</v>
      </c>
      <c r="Y135" s="158">
        <f>Y108*Inputs!$H54</f>
        <v>3.0751536695844996E-2</v>
      </c>
      <c r="Z135" s="158">
        <f>Z108*Inputs!$H54</f>
        <v>3.1068501239225305E-2</v>
      </c>
      <c r="AA135" s="158">
        <f>AA108*Inputs!$H54</f>
        <v>3.1447636451945052E-2</v>
      </c>
      <c r="AB135" s="158">
        <f>AB108*Inputs!$H54</f>
        <v>3.1846326061045128E-2</v>
      </c>
      <c r="AC135" s="158">
        <f>AC108*Inputs!$H54</f>
        <v>3.2252848875890992E-2</v>
      </c>
      <c r="AD135" s="158">
        <f>AD108*Inputs!$H54</f>
        <v>3.2933258609344533E-2</v>
      </c>
      <c r="AE135" s="158">
        <f>AE108*Inputs!$H54</f>
        <v>3.3652775800215626E-2</v>
      </c>
      <c r="AF135" s="158">
        <f>AF108*Inputs!$H54</f>
        <v>3.4150989146006727E-2</v>
      </c>
      <c r="AG135" s="158">
        <f>AG108*Inputs!$H54</f>
        <v>3.4611582061177128E-2</v>
      </c>
      <c r="AH135" s="187">
        <f>AH108*Inputs!$H54</f>
        <v>3.5095194417954584E-2</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2.4607376926733078E-3</v>
      </c>
      <c r="J136" s="14">
        <f>J109*Inputs!$H55</f>
        <v>2.7175335247433441E-3</v>
      </c>
      <c r="K136" s="14">
        <f>K109*Inputs!$H55</f>
        <v>3.0793649076820877E-3</v>
      </c>
      <c r="L136" s="14">
        <f>L109*Inputs!$H55</f>
        <v>3.422138124124138E-3</v>
      </c>
      <c r="M136" s="14">
        <f>M109*Inputs!$H55</f>
        <v>3.7752802579066832E-3</v>
      </c>
      <c r="N136" s="187">
        <f>N109*Inputs!$H55</f>
        <v>4.1743743444605727E-3</v>
      </c>
      <c r="O136" s="14">
        <f>O109*Inputs!$H55</f>
        <v>4.1121257208500388E-3</v>
      </c>
      <c r="P136" s="14">
        <f>P109*Inputs!$H55</f>
        <v>4.1093917564227677E-3</v>
      </c>
      <c r="Q136" s="14">
        <f>Q109*Inputs!$H55</f>
        <v>4.152167073991961E-3</v>
      </c>
      <c r="R136" s="14">
        <f>R109*Inputs!$H55</f>
        <v>4.1925423997456824E-3</v>
      </c>
      <c r="S136" s="14">
        <f>S109*Inputs!$H55</f>
        <v>4.2363039694159046E-3</v>
      </c>
      <c r="T136" s="14">
        <f>T109*Inputs!$H55</f>
        <v>4.2679755670070639E-3</v>
      </c>
      <c r="U136" s="14">
        <f>U109*Inputs!$H55</f>
        <v>4.305387516226682E-3</v>
      </c>
      <c r="V136" s="14">
        <f>V109*Inputs!$H55</f>
        <v>4.3425663782046368E-3</v>
      </c>
      <c r="W136" s="14">
        <f>W109*Inputs!$H55</f>
        <v>4.3833064352478855E-3</v>
      </c>
      <c r="X136" s="187">
        <f>X109*Inputs!$H55</f>
        <v>4.4234845088944475E-3</v>
      </c>
      <c r="Y136" s="158">
        <f>Y109*Inputs!$H55</f>
        <v>4.4764895190154115E-3</v>
      </c>
      <c r="Z136" s="158">
        <f>Z109*Inputs!$H55</f>
        <v>4.5226299272289995E-3</v>
      </c>
      <c r="AA136" s="158">
        <f>AA109*Inputs!$H55</f>
        <v>4.5778204961692158E-3</v>
      </c>
      <c r="AB136" s="158">
        <f>AB109*Inputs!$H55</f>
        <v>4.635857591164797E-3</v>
      </c>
      <c r="AC136" s="158">
        <f>AC109*Inputs!$H55</f>
        <v>4.6950349629461567E-3</v>
      </c>
      <c r="AD136" s="158">
        <f>AD109*Inputs!$H55</f>
        <v>4.7940819494615454E-3</v>
      </c>
      <c r="AE136" s="158">
        <f>AE109*Inputs!$H55</f>
        <v>4.8988217937022743E-3</v>
      </c>
      <c r="AF136" s="158">
        <f>AF109*Inputs!$H55</f>
        <v>4.9713465212541429E-3</v>
      </c>
      <c r="AG136" s="158">
        <f>AG109*Inputs!$H55</f>
        <v>5.0383948570067961E-3</v>
      </c>
      <c r="AH136" s="187">
        <f>AH109*Inputs!$H55</f>
        <v>5.1087941241326294E-3</v>
      </c>
    </row>
    <row r="137" spans="1:35">
      <c r="A137" s="9" t="s">
        <v>344</v>
      </c>
      <c r="B137" s="35">
        <v>1</v>
      </c>
      <c r="C137" s="331">
        <f>C110*Inputs!$H56</f>
        <v>2.16E-3</v>
      </c>
      <c r="D137" s="331">
        <f>D110*Inputs!$H56</f>
        <v>2.4957089989188284E-3</v>
      </c>
      <c r="E137" s="331">
        <f>E110*Inputs!$H56</f>
        <v>2.7601067095673684E-3</v>
      </c>
      <c r="F137" s="331">
        <f>F110*Inputs!$H56</f>
        <v>3.1321430671018024E-3</v>
      </c>
      <c r="G137" s="331">
        <f>G110*Inputs!$H56</f>
        <v>3.2682812102451972E-3</v>
      </c>
      <c r="H137" s="402">
        <f>H110*Inputs!$H56</f>
        <v>2.16E-3</v>
      </c>
      <c r="I137" s="14">
        <f>I110*Inputs!$H56</f>
        <v>2.5677262880069301E-3</v>
      </c>
      <c r="J137" s="14">
        <f>J110*Inputs!$H56</f>
        <v>2.8356871562539247E-3</v>
      </c>
      <c r="K137" s="14">
        <f>K110*Inputs!$H56</f>
        <v>3.2132503384508745E-3</v>
      </c>
      <c r="L137" s="14">
        <f>L110*Inputs!$H56</f>
        <v>3.5709267382164922E-3</v>
      </c>
      <c r="M137" s="14">
        <f>M110*Inputs!$H56</f>
        <v>3.9394228778156697E-3</v>
      </c>
      <c r="N137" s="187">
        <f>N110*Inputs!$H56</f>
        <v>4.3558688811762506E-3</v>
      </c>
      <c r="O137" s="14">
        <f>O110*Inputs!$H56</f>
        <v>4.2909137956696061E-3</v>
      </c>
      <c r="P137" s="14">
        <f>P110*Inputs!$H56</f>
        <v>4.2880609632237584E-3</v>
      </c>
      <c r="Q137" s="14">
        <f>Q110*Inputs!$H56</f>
        <v>4.3326960772090027E-3</v>
      </c>
      <c r="R137" s="14">
        <f>R110*Inputs!$H56</f>
        <v>4.3748268519085377E-3</v>
      </c>
      <c r="S137" s="14">
        <f>S110*Inputs!$H56</f>
        <v>4.4204910985209444E-3</v>
      </c>
      <c r="T137" s="14">
        <f>T110*Inputs!$H56</f>
        <v>4.4535397220943282E-3</v>
      </c>
      <c r="U137" s="14">
        <f>U110*Inputs!$H56</f>
        <v>4.4925782778017561E-3</v>
      </c>
      <c r="V137" s="14">
        <f>V110*Inputs!$H56</f>
        <v>4.5313736120396212E-3</v>
      </c>
      <c r="W137" s="14">
        <f>W110*Inputs!$H56</f>
        <v>4.5738849759108368E-3</v>
      </c>
      <c r="X137" s="187">
        <f>X110*Inputs!$H56</f>
        <v>4.6158099223246405E-3</v>
      </c>
      <c r="Y137" s="158">
        <f>Y110*Inputs!$H56</f>
        <v>4.6711194981030385E-3</v>
      </c>
      <c r="Z137" s="158">
        <f>Z110*Inputs!$H56</f>
        <v>4.7192660110215653E-3</v>
      </c>
      <c r="AA137" s="158">
        <f>AA110*Inputs!$H56</f>
        <v>4.7768561699157042E-3</v>
      </c>
      <c r="AB137" s="158">
        <f>AB110*Inputs!$H56</f>
        <v>4.8374166168676149E-3</v>
      </c>
      <c r="AC137" s="158">
        <f>AC110*Inputs!$H56</f>
        <v>4.8991669178568599E-3</v>
      </c>
      <c r="AD137" s="158">
        <f>AD110*Inputs!$H56</f>
        <v>5.0025202950903088E-3</v>
      </c>
      <c r="AE137" s="158">
        <f>AE110*Inputs!$H56</f>
        <v>5.1118140456023736E-3</v>
      </c>
      <c r="AF137" s="158">
        <f>AF110*Inputs!$H56</f>
        <v>5.1874920221782368E-3</v>
      </c>
      <c r="AG137" s="158">
        <f>AG110*Inputs!$H56</f>
        <v>5.2574555029636138E-3</v>
      </c>
      <c r="AH137" s="187">
        <f>AH110*Inputs!$H56</f>
        <v>5.3309156077905699E-3</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340.57800000000003</v>
      </c>
      <c r="D139" s="331">
        <f>D112*Inputs!$H57</f>
        <v>496.791</v>
      </c>
      <c r="E139" s="331">
        <f>E112*Inputs!$H57</f>
        <v>540.20252775832535</v>
      </c>
      <c r="F139" s="331">
        <f>F112*Inputs!$H57</f>
        <v>616.58873931236076</v>
      </c>
      <c r="G139" s="331">
        <f>G112*Inputs!$H57</f>
        <v>725.54350355082875</v>
      </c>
      <c r="H139" s="402">
        <f>H112*Inputs!$H57</f>
        <v>727.79345532422644</v>
      </c>
      <c r="I139" s="14">
        <f>I112*Inputs!$H57</f>
        <v>880.34714675762302</v>
      </c>
      <c r="J139" s="14">
        <f>J112*Inputs!$H57</f>
        <v>989.26897397855691</v>
      </c>
      <c r="K139" s="14">
        <f>K112*Inputs!$H57</f>
        <v>1140.6475537662598</v>
      </c>
      <c r="L139" s="14">
        <f>L112*Inputs!$H57</f>
        <v>1289.8484633272096</v>
      </c>
      <c r="M139" s="14">
        <f>M112*Inputs!$H57</f>
        <v>1447.9087478491729</v>
      </c>
      <c r="N139" s="182">
        <f>N112*Inputs!$H57</f>
        <v>1629.0492959940188</v>
      </c>
      <c r="O139" s="14">
        <f>O112*Inputs!$H57</f>
        <v>1604.756774983319</v>
      </c>
      <c r="P139" s="14">
        <f>P112*Inputs!$H57</f>
        <v>1603.6898455567741</v>
      </c>
      <c r="Q139" s="14">
        <f>Q112*Inputs!$H57</f>
        <v>1620.3829102466916</v>
      </c>
      <c r="R139" s="14">
        <f>R112*Inputs!$H57</f>
        <v>1636.139378298464</v>
      </c>
      <c r="S139" s="14">
        <f>S112*Inputs!$H57</f>
        <v>1653.2173278018361</v>
      </c>
      <c r="T139" s="14">
        <f>T112*Inputs!$H57</f>
        <v>1665.5771665468567</v>
      </c>
      <c r="U139" s="14">
        <f>U112*Inputs!$H57</f>
        <v>1680.1771771134361</v>
      </c>
      <c r="V139" s="14">
        <f>V112*Inputs!$H57</f>
        <v>1694.6862254002574</v>
      </c>
      <c r="W139" s="14">
        <f>W112*Inputs!$H57</f>
        <v>1710.5850298122598</v>
      </c>
      <c r="X139" s="187">
        <f>X112*Inputs!$H57</f>
        <v>1726.2645202430065</v>
      </c>
      <c r="Y139" s="158">
        <f>Y112*Inputs!$H57</f>
        <v>1746.9497217358478</v>
      </c>
      <c r="Z139" s="158">
        <f>Z112*Inputs!$H57</f>
        <v>1764.956012814406</v>
      </c>
      <c r="AA139" s="158">
        <f>AA112*Inputs!$H57</f>
        <v>1786.4941284836145</v>
      </c>
      <c r="AB139" s="158">
        <f>AB112*Inputs!$H57</f>
        <v>1809.1431007468598</v>
      </c>
      <c r="AC139" s="158">
        <f>AC112*Inputs!$H57</f>
        <v>1832.2370659460107</v>
      </c>
      <c r="AD139" s="158">
        <f>AD112*Inputs!$H57</f>
        <v>1870.8901455068647</v>
      </c>
      <c r="AE139" s="158">
        <f>AE112*Inputs!$H57</f>
        <v>1911.7648623969069</v>
      </c>
      <c r="AF139" s="158">
        <f>AF112*Inputs!$H57</f>
        <v>1940.0676322520617</v>
      </c>
      <c r="AG139" s="158">
        <f>AG112*Inputs!$H57</f>
        <v>1966.2332405905597</v>
      </c>
      <c r="AH139" s="187">
        <f>AH112*Inputs!$H57</f>
        <v>1993.7065496630967</v>
      </c>
      <c r="AI139" s="31">
        <f>SUM(C139:X139)</f>
        <v>27420.043763621485</v>
      </c>
    </row>
    <row r="140" spans="1:35">
      <c r="A140" s="10" t="s">
        <v>384</v>
      </c>
      <c r="C140" s="331">
        <f t="shared" ref="C140:AH140" si="91">SUM(C127:C139)</f>
        <v>471.12381000000005</v>
      </c>
      <c r="D140" s="331">
        <f t="shared" si="91"/>
        <v>630.59925277742889</v>
      </c>
      <c r="E140" s="331">
        <f t="shared" si="91"/>
        <v>671.44445869936294</v>
      </c>
      <c r="F140" s="331">
        <f t="shared" si="91"/>
        <v>748.59719364363377</v>
      </c>
      <c r="G140" s="331">
        <f t="shared" si="91"/>
        <v>847.58386712564527</v>
      </c>
      <c r="H140" s="402">
        <f t="shared" si="91"/>
        <v>841.60884735084119</v>
      </c>
      <c r="I140" s="14">
        <f t="shared" si="91"/>
        <v>1001.592507291268</v>
      </c>
      <c r="J140" s="14">
        <f t="shared" si="91"/>
        <v>1109.2467859218825</v>
      </c>
      <c r="K140" s="14">
        <f t="shared" si="91"/>
        <v>1262.4538501226409</v>
      </c>
      <c r="L140" s="14">
        <f t="shared" si="91"/>
        <v>1411.1159226817831</v>
      </c>
      <c r="M140" s="14">
        <f t="shared" si="91"/>
        <v>1567.7452123521327</v>
      </c>
      <c r="N140" s="182">
        <f t="shared" si="91"/>
        <v>1747.7295318506915</v>
      </c>
      <c r="O140" s="14">
        <f t="shared" si="91"/>
        <v>1721.1342515446449</v>
      </c>
      <c r="P140" s="14">
        <f t="shared" si="91"/>
        <v>1719.4569088860894</v>
      </c>
      <c r="Q140" s="14">
        <f t="shared" si="91"/>
        <v>1736.8160718462414</v>
      </c>
      <c r="R140" s="14">
        <f t="shared" si="91"/>
        <v>1753.1602462398116</v>
      </c>
      <c r="S140" s="14">
        <f t="shared" si="91"/>
        <v>1770.9092434189376</v>
      </c>
      <c r="T140" s="14">
        <f t="shared" si="91"/>
        <v>1783.5942536133468</v>
      </c>
      <c r="U140" s="14">
        <f t="shared" si="91"/>
        <v>1798.6690450037099</v>
      </c>
      <c r="V140" s="14">
        <f t="shared" si="91"/>
        <v>1813.636671640279</v>
      </c>
      <c r="W140" s="14">
        <f t="shared" si="91"/>
        <v>1830.0814320911024</v>
      </c>
      <c r="X140" s="187">
        <f t="shared" si="91"/>
        <v>1846.2810497506166</v>
      </c>
      <c r="Y140" s="158">
        <f t="shared" si="91"/>
        <v>1866.7623210672166</v>
      </c>
      <c r="Z140" s="158">
        <f t="shared" si="91"/>
        <v>1884.3671198612867</v>
      </c>
      <c r="AA140" s="158">
        <f t="shared" si="91"/>
        <v>1905.7282902108077</v>
      </c>
      <c r="AB140" s="158">
        <f t="shared" si="91"/>
        <v>1928.2563371339502</v>
      </c>
      <c r="AC140" s="158">
        <f t="shared" si="91"/>
        <v>1951.2394325379707</v>
      </c>
      <c r="AD140" s="158">
        <f t="shared" si="91"/>
        <v>1990.7596208615651</v>
      </c>
      <c r="AE140" s="158">
        <f t="shared" si="91"/>
        <v>2032.5965437880545</v>
      </c>
      <c r="AF140" s="158">
        <f t="shared" si="91"/>
        <v>2061.0296972901365</v>
      </c>
      <c r="AG140" s="158">
        <f t="shared" si="91"/>
        <v>2087.168550718281</v>
      </c>
      <c r="AH140" s="187">
        <f t="shared" si="91"/>
        <v>2114.6715617903419</v>
      </c>
      <c r="AI140" s="48" t="s">
        <v>0</v>
      </c>
    </row>
    <row r="141" spans="1:35">
      <c r="A141" s="10" t="s">
        <v>387</v>
      </c>
      <c r="C141" s="331">
        <f>SUM(C128:C130)</f>
        <v>130.54364999999999</v>
      </c>
      <c r="D141" s="331">
        <f t="shared" ref="D141:AH141" si="92">SUM(D128:D130)</f>
        <v>133.80575706842995</v>
      </c>
      <c r="E141" s="331">
        <f t="shared" si="92"/>
        <v>131.22185567315501</v>
      </c>
      <c r="F141" s="331">
        <f t="shared" si="92"/>
        <v>131.98798903538037</v>
      </c>
      <c r="G141" s="331">
        <f t="shared" si="92"/>
        <v>122.01966332048379</v>
      </c>
      <c r="H141" s="402">
        <f t="shared" si="92"/>
        <v>113.79573242944528</v>
      </c>
      <c r="I141" s="14">
        <f t="shared" si="92"/>
        <v>121.22184084083322</v>
      </c>
      <c r="J141" s="14">
        <f t="shared" si="92"/>
        <v>119.95165448880108</v>
      </c>
      <c r="K141" s="14">
        <f t="shared" si="92"/>
        <v>121.77642474770167</v>
      </c>
      <c r="L141" s="14">
        <f t="shared" si="92"/>
        <v>121.23397609220423</v>
      </c>
      <c r="M141" s="14">
        <f t="shared" si="92"/>
        <v>119.7991734805229</v>
      </c>
      <c r="N141" s="187">
        <f t="shared" si="92"/>
        <v>118.63856785130663</v>
      </c>
      <c r="O141" s="14">
        <f t="shared" si="92"/>
        <v>116.33642991278329</v>
      </c>
      <c r="P141" s="14">
        <f t="shared" si="92"/>
        <v>115.72604397081304</v>
      </c>
      <c r="Q141" s="14">
        <f t="shared" si="92"/>
        <v>116.3917152639691</v>
      </c>
      <c r="R141" s="14">
        <f t="shared" si="92"/>
        <v>116.97901858506226</v>
      </c>
      <c r="S141" s="14">
        <f t="shared" si="92"/>
        <v>117.6496294391108</v>
      </c>
      <c r="T141" s="14">
        <f t="shared" si="92"/>
        <v>117.97448474715961</v>
      </c>
      <c r="U141" s="14">
        <f t="shared" si="92"/>
        <v>118.44889213023751</v>
      </c>
      <c r="V141" s="14">
        <f t="shared" si="92"/>
        <v>118.90709936592302</v>
      </c>
      <c r="W141" s="14">
        <f t="shared" si="92"/>
        <v>119.45264874334391</v>
      </c>
      <c r="X141" s="187">
        <f t="shared" si="92"/>
        <v>119.97237492034903</v>
      </c>
      <c r="Y141" s="158">
        <f t="shared" si="92"/>
        <v>119.76773549711673</v>
      </c>
      <c r="Z141" s="158">
        <f t="shared" si="92"/>
        <v>119.365421546108</v>
      </c>
      <c r="AA141" s="158">
        <f t="shared" si="92"/>
        <v>119.18762258754896</v>
      </c>
      <c r="AB141" s="158">
        <f t="shared" si="92"/>
        <v>119.06581632278606</v>
      </c>
      <c r="AC141" s="158">
        <f t="shared" si="92"/>
        <v>118.95429928216396</v>
      </c>
      <c r="AD141" s="158">
        <f t="shared" si="92"/>
        <v>119.82040011675657</v>
      </c>
      <c r="AE141" s="158">
        <f t="shared" si="92"/>
        <v>120.78156345710137</v>
      </c>
      <c r="AF141" s="158">
        <f t="shared" si="92"/>
        <v>120.91117161082992</v>
      </c>
      <c r="AG141" s="158">
        <f t="shared" si="92"/>
        <v>120.88368040666067</v>
      </c>
      <c r="AH141" s="187">
        <f t="shared" si="92"/>
        <v>120.91401687779899</v>
      </c>
      <c r="AI141" s="48"/>
    </row>
    <row r="142" spans="1:35">
      <c r="A142" s="10" t="s">
        <v>386</v>
      </c>
      <c r="C142" s="330">
        <f t="shared" ref="C142:AH142" si="93">SUMPRODUCT($B131:$B139,C131:C139)</f>
        <v>340.58016000000003</v>
      </c>
      <c r="D142" s="330">
        <f t="shared" si="93"/>
        <v>496.79349570899893</v>
      </c>
      <c r="E142" s="330">
        <f t="shared" si="93"/>
        <v>540.22260302620793</v>
      </c>
      <c r="F142" s="330">
        <f t="shared" si="93"/>
        <v>616.60920460825332</v>
      </c>
      <c r="G142" s="330">
        <f t="shared" si="93"/>
        <v>725.56420380516147</v>
      </c>
      <c r="H142" s="286">
        <f t="shared" si="93"/>
        <v>727.81311492139594</v>
      </c>
      <c r="I142" s="40">
        <f t="shared" si="93"/>
        <v>880.3706664504349</v>
      </c>
      <c r="J142" s="40">
        <f t="shared" si="93"/>
        <v>989.29513143308134</v>
      </c>
      <c r="K142" s="40">
        <f t="shared" si="93"/>
        <v>1140.6774253749393</v>
      </c>
      <c r="L142" s="40">
        <f t="shared" si="93"/>
        <v>1289.8819465895788</v>
      </c>
      <c r="M142" s="40">
        <f t="shared" si="93"/>
        <v>1447.9460388716097</v>
      </c>
      <c r="N142" s="177">
        <f t="shared" si="93"/>
        <v>1629.0909639993849</v>
      </c>
      <c r="O142" s="40">
        <f t="shared" si="93"/>
        <v>1604.7978216318616</v>
      </c>
      <c r="P142" s="40">
        <f t="shared" si="93"/>
        <v>1603.7308649152762</v>
      </c>
      <c r="Q142" s="40">
        <f t="shared" si="93"/>
        <v>1620.4243565822724</v>
      </c>
      <c r="R142" s="40">
        <f t="shared" si="93"/>
        <v>1636.1812276547494</v>
      </c>
      <c r="S142" s="40">
        <f t="shared" si="93"/>
        <v>1653.2596139798268</v>
      </c>
      <c r="T142" s="40">
        <f t="shared" si="93"/>
        <v>1665.6197688661873</v>
      </c>
      <c r="U142" s="40">
        <f t="shared" si="93"/>
        <v>1680.2201528734724</v>
      </c>
      <c r="V142" s="40">
        <f t="shared" si="93"/>
        <v>1694.7295722743559</v>
      </c>
      <c r="W142" s="40">
        <f t="shared" si="93"/>
        <v>1710.6287833477584</v>
      </c>
      <c r="X142" s="184">
        <f t="shared" si="93"/>
        <v>1726.3086748302676</v>
      </c>
      <c r="Y142" s="271">
        <f t="shared" si="93"/>
        <v>1746.9945855700998</v>
      </c>
      <c r="Z142" s="271">
        <f t="shared" si="93"/>
        <v>1765.0016983151788</v>
      </c>
      <c r="AA142" s="271">
        <f t="shared" si="93"/>
        <v>1786.5406676232587</v>
      </c>
      <c r="AB142" s="271">
        <f t="shared" si="93"/>
        <v>1809.1905208111641</v>
      </c>
      <c r="AC142" s="271">
        <f t="shared" si="93"/>
        <v>1832.2851332558068</v>
      </c>
      <c r="AD142" s="271">
        <f t="shared" si="93"/>
        <v>1870.9392207448084</v>
      </c>
      <c r="AE142" s="271">
        <f t="shared" si="93"/>
        <v>1911.8149803309529</v>
      </c>
      <c r="AF142" s="271">
        <f t="shared" si="93"/>
        <v>1940.1185256793065</v>
      </c>
      <c r="AG142" s="271">
        <f t="shared" si="93"/>
        <v>1966.2848703116206</v>
      </c>
      <c r="AH142" s="184">
        <f t="shared" si="93"/>
        <v>1993.7575449125432</v>
      </c>
    </row>
    <row r="143" spans="1:35">
      <c r="A143" s="10" t="s">
        <v>142</v>
      </c>
      <c r="C143" s="331">
        <f>C116*Inputs!$H$60</f>
        <v>2941.2305999999999</v>
      </c>
      <c r="D143" s="331">
        <f>D116*Inputs!$H$60</f>
        <v>4258.9292918549845</v>
      </c>
      <c r="E143" s="331">
        <f>E116*Inputs!$H$60</f>
        <v>4192.5700512787662</v>
      </c>
      <c r="F143" s="331">
        <f>F116*Inputs!$H$60</f>
        <v>4197.329125853943</v>
      </c>
      <c r="G143" s="331">
        <f>G116*Inputs!$H$60</f>
        <v>3878.0286628556696</v>
      </c>
      <c r="H143" s="402">
        <f>H116*Inputs!$H$60</f>
        <v>4035.0726324879734</v>
      </c>
      <c r="I143" s="14">
        <f>I116*Inputs!$H$60</f>
        <v>4300.8769053231608</v>
      </c>
      <c r="J143" s="14">
        <f>J116*Inputs!$H$60</f>
        <v>4226.5713866513779</v>
      </c>
      <c r="K143" s="14">
        <f>K116*Inputs!$H$60</f>
        <v>4258.8952217010074</v>
      </c>
      <c r="L143" s="14">
        <f>L116*Inputs!$H$60</f>
        <v>4191.6571535285575</v>
      </c>
      <c r="M143" s="14">
        <f>M116*Inputs!$H$60</f>
        <v>4082.3145975190896</v>
      </c>
      <c r="N143" s="182">
        <f>N116*Inputs!$H$60</f>
        <v>3969.8532111150271</v>
      </c>
      <c r="O143" s="14">
        <f>O116*Inputs!$H$60</f>
        <v>3855.5452728761384</v>
      </c>
      <c r="P143" s="14">
        <f>P116*Inputs!$H$60</f>
        <v>3800.9036348561635</v>
      </c>
      <c r="Q143" s="14">
        <f>Q116*Inputs!$H$60</f>
        <v>3791.4279251741682</v>
      </c>
      <c r="R143" s="14">
        <f>R116*Inputs!$H$60</f>
        <v>3780.608542761428</v>
      </c>
      <c r="S143" s="14">
        <f>S116*Inputs!$H$60</f>
        <v>3771.5446103208928</v>
      </c>
      <c r="T143" s="14">
        <f>T116*Inputs!$H$60</f>
        <v>3750.143286691959</v>
      </c>
      <c r="U143" s="14">
        <f>U116*Inputs!$H$60</f>
        <v>3734.79181862007</v>
      </c>
      <c r="V143" s="14">
        <f>V116*Inputs!$H$60</f>
        <v>3719.3095960507931</v>
      </c>
      <c r="W143" s="14">
        <f>W116*Inputs!$H$60</f>
        <v>3705.4157043304353</v>
      </c>
      <c r="X143" s="187">
        <f>X116*Inputs!$H$60</f>
        <v>3690.8672671104105</v>
      </c>
      <c r="Y143" s="158">
        <f>Y116*Inputs!$H$60</f>
        <v>3673.3069837530911</v>
      </c>
      <c r="Z143" s="158">
        <f>Z116*Inputs!$H$60</f>
        <v>3647.3121054454741</v>
      </c>
      <c r="AA143" s="158">
        <f>AA116*Inputs!$H$60</f>
        <v>3629.4008321705001</v>
      </c>
      <c r="AB143" s="158">
        <f>AB116*Inputs!$H$60</f>
        <v>3613.5153676184486</v>
      </c>
      <c r="AC143" s="158">
        <f>AC116*Inputs!$H$60</f>
        <v>3597.6477113568203</v>
      </c>
      <c r="AD143" s="158">
        <f>AD116*Inputs!$H$60</f>
        <v>3613.0625926192738</v>
      </c>
      <c r="AE143" s="158">
        <f>AE116*Inputs!$H$60</f>
        <v>3630.553139521458</v>
      </c>
      <c r="AF143" s="158">
        <f>AF116*Inputs!$H$60</f>
        <v>3621.157352784614</v>
      </c>
      <c r="AG143" s="158">
        <f>AG116*Inputs!$H$60</f>
        <v>3605.5796380759039</v>
      </c>
      <c r="AH143" s="187">
        <f>AH116*Inputs!$H$60</f>
        <v>3591.7769803139936</v>
      </c>
      <c r="AI143" s="48"/>
    </row>
    <row r="144" spans="1:35">
      <c r="A144" s="10" t="s">
        <v>222</v>
      </c>
      <c r="C144" s="331">
        <f>C117*Inputs!$H$61</f>
        <v>1260.5273999999999</v>
      </c>
      <c r="D144" s="331">
        <f>D117*Inputs!$H$61</f>
        <v>45.475342428209274</v>
      </c>
      <c r="E144" s="331">
        <f>E117*Inputs!$H$61</f>
        <v>24.326352946719656</v>
      </c>
      <c r="F144" s="331">
        <f>F117*Inputs!$H$61</f>
        <v>29.0885354800511</v>
      </c>
      <c r="G144" s="331">
        <f>G117*Inputs!$H$61</f>
        <v>35.897103004506484</v>
      </c>
      <c r="H144" s="402">
        <f>H117*Inputs!$H$61</f>
        <v>35.246076954190983</v>
      </c>
      <c r="I144" s="14">
        <f>I117*Inputs!$H$61</f>
        <v>22.429455416508951</v>
      </c>
      <c r="J144" s="14">
        <f>J117*Inputs!$H$61</f>
        <v>23.968225626007019</v>
      </c>
      <c r="K144" s="14">
        <f>K117*Inputs!$H$61</f>
        <v>23.299366367441522</v>
      </c>
      <c r="L144" s="14">
        <f>L117*Inputs!$H$61</f>
        <v>25.154468338055622</v>
      </c>
      <c r="M144" s="14">
        <f>M117*Inputs!$H$61</f>
        <v>25.517856312054121</v>
      </c>
      <c r="N144" s="182">
        <f>N117*Inputs!$H$61</f>
        <v>25.866264960317515</v>
      </c>
      <c r="O144" s="14">
        <f>O117*Inputs!$H$61</f>
        <v>29.75498002383685</v>
      </c>
      <c r="P144" s="14">
        <f>P117*Inputs!$H$61</f>
        <v>33.317828126005139</v>
      </c>
      <c r="Q144" s="14">
        <f>Q117*Inputs!$H$61</f>
        <v>35.601412810737529</v>
      </c>
      <c r="R144" s="14">
        <f>R117*Inputs!$H$61</f>
        <v>36.43727017536478</v>
      </c>
      <c r="S144" s="14">
        <f>S117*Inputs!$H$61</f>
        <v>38.20280431090562</v>
      </c>
      <c r="T144" s="14">
        <f>T117*Inputs!$H$61</f>
        <v>40.667538758956333</v>
      </c>
      <c r="U144" s="14">
        <f>U117*Inputs!$H$61</f>
        <v>42.046989071062455</v>
      </c>
      <c r="V144" s="14">
        <f>V117*Inputs!$H$61</f>
        <v>42.971258502235173</v>
      </c>
      <c r="W144" s="14">
        <f>W117*Inputs!$H$61</f>
        <v>45.100990646930867</v>
      </c>
      <c r="X144" s="187">
        <f>X117*Inputs!$H$61</f>
        <v>46.963214300642832</v>
      </c>
      <c r="Y144" s="158">
        <f>Y117*Inputs!$H$61</f>
        <v>46.769609870530466</v>
      </c>
      <c r="Z144" s="158">
        <f>Z117*Inputs!$H$61</f>
        <v>48.501533757150114</v>
      </c>
      <c r="AA144" s="158">
        <f>AA117*Inputs!$H$61</f>
        <v>49.203853823925222</v>
      </c>
      <c r="AB144" s="158">
        <f>AB117*Inputs!$H$61</f>
        <v>49.492337400983047</v>
      </c>
      <c r="AC144" s="158">
        <f>AC117*Inputs!$H$61</f>
        <v>49.902247747171664</v>
      </c>
      <c r="AD144" s="158">
        <f>AD117*Inputs!$H$61</f>
        <v>49.824622003642695</v>
      </c>
      <c r="AE144" s="158">
        <f>AE117*Inputs!$H$61</f>
        <v>50.283598252381168</v>
      </c>
      <c r="AF144" s="158">
        <f>AF117*Inputs!$H$61</f>
        <v>51.01931038107459</v>
      </c>
      <c r="AG144" s="158">
        <f>AG117*Inputs!$H$61</f>
        <v>52.751892794372417</v>
      </c>
      <c r="AH144" s="187">
        <f>AH117*Inputs!$H$61</f>
        <v>54.295832687823534</v>
      </c>
      <c r="AI144" s="48"/>
    </row>
    <row r="145" spans="1:35">
      <c r="A145" s="10" t="s">
        <v>58</v>
      </c>
      <c r="C145" s="331">
        <f>SUM(C140,C143,C144)</f>
        <v>4672.8818099999999</v>
      </c>
      <c r="D145" s="331">
        <f>SUM(D140,D143,D144)</f>
        <v>4935.0038870606222</v>
      </c>
      <c r="E145" s="331">
        <f t="shared" ref="E145:AH145" si="94">SUM(E140,E143,E144)</f>
        <v>4888.3408629248488</v>
      </c>
      <c r="F145" s="331">
        <f t="shared" si="94"/>
        <v>4975.0148549776277</v>
      </c>
      <c r="G145" s="331">
        <f t="shared" si="94"/>
        <v>4761.5096329858216</v>
      </c>
      <c r="H145" s="402">
        <f t="shared" si="94"/>
        <v>4911.9275567930063</v>
      </c>
      <c r="I145" s="14">
        <f t="shared" si="94"/>
        <v>5324.8988680309376</v>
      </c>
      <c r="J145" s="14">
        <f t="shared" si="94"/>
        <v>5359.7863981992668</v>
      </c>
      <c r="K145" s="14">
        <f t="shared" si="94"/>
        <v>5544.6484381910896</v>
      </c>
      <c r="L145" s="14">
        <f t="shared" si="94"/>
        <v>5627.9275445483954</v>
      </c>
      <c r="M145" s="14">
        <f t="shared" si="94"/>
        <v>5675.577666183277</v>
      </c>
      <c r="N145" s="187">
        <f t="shared" si="94"/>
        <v>5743.4490079260358</v>
      </c>
      <c r="O145" s="14">
        <f t="shared" si="94"/>
        <v>5606.43450444462</v>
      </c>
      <c r="P145" s="14">
        <f t="shared" si="94"/>
        <v>5553.6783718682582</v>
      </c>
      <c r="Q145" s="14">
        <f t="shared" si="94"/>
        <v>5563.8454098311468</v>
      </c>
      <c r="R145" s="14">
        <f t="shared" si="94"/>
        <v>5570.206059176604</v>
      </c>
      <c r="S145" s="14">
        <f t="shared" si="94"/>
        <v>5580.656658050736</v>
      </c>
      <c r="T145" s="14">
        <f t="shared" si="94"/>
        <v>5574.4050790642623</v>
      </c>
      <c r="U145" s="14">
        <f t="shared" si="94"/>
        <v>5575.5078526948428</v>
      </c>
      <c r="V145" s="14">
        <f t="shared" si="94"/>
        <v>5575.9175261933069</v>
      </c>
      <c r="W145" s="14">
        <f t="shared" si="94"/>
        <v>5580.5981270684688</v>
      </c>
      <c r="X145" s="187">
        <f t="shared" si="94"/>
        <v>5584.1115311616695</v>
      </c>
      <c r="Y145" s="158">
        <f t="shared" si="94"/>
        <v>5586.8389146908376</v>
      </c>
      <c r="Z145" s="158">
        <f t="shared" si="94"/>
        <v>5580.180759063911</v>
      </c>
      <c r="AA145" s="158">
        <f t="shared" si="94"/>
        <v>5584.3329762052326</v>
      </c>
      <c r="AB145" s="158">
        <f t="shared" si="94"/>
        <v>5591.2640421533815</v>
      </c>
      <c r="AC145" s="158">
        <f t="shared" si="94"/>
        <v>5598.7893916419625</v>
      </c>
      <c r="AD145" s="158">
        <f t="shared" si="94"/>
        <v>5653.646835484481</v>
      </c>
      <c r="AE145" s="158">
        <f t="shared" si="94"/>
        <v>5713.4332815618936</v>
      </c>
      <c r="AF145" s="158">
        <f t="shared" si="94"/>
        <v>5733.2063604558243</v>
      </c>
      <c r="AG145" s="158">
        <f t="shared" si="94"/>
        <v>5745.5000815885569</v>
      </c>
      <c r="AH145" s="187">
        <f t="shared" si="94"/>
        <v>5760.7443747921589</v>
      </c>
      <c r="AI145" s="48"/>
    </row>
    <row r="146" spans="1:35" s="1" customFormat="1">
      <c r="A146" s="1" t="s">
        <v>335</v>
      </c>
      <c r="B146" s="13"/>
      <c r="C146" s="341">
        <f>C145-'Output - Jobs vs Yr (BAU)'!C73</f>
        <v>-2.6999999954568921E-4</v>
      </c>
      <c r="D146" s="341">
        <f>D145-'Output - Jobs vs Yr (BAU)'!D73</f>
        <v>-1.1821929393772734</v>
      </c>
      <c r="E146" s="341">
        <f>E145-'Output - Jobs vs Yr (BAU)'!E73</f>
        <v>-3.4474631355142265</v>
      </c>
      <c r="F146" s="341">
        <f>F145-'Output - Jobs vs Yr (BAU)'!F73</f>
        <v>-0.93591159266452451</v>
      </c>
      <c r="G146" s="341">
        <f>G145-'Output - Jobs vs Yr (BAU)'!G73</f>
        <v>2.8224163525364929</v>
      </c>
      <c r="H146" s="405">
        <f>H145-'Output - Jobs vs Yr (BAU)'!H73</f>
        <v>-0.10223999999925582</v>
      </c>
      <c r="I146" s="15">
        <f>I145-'Output - Jobs vs Yr (BAU)'!I73</f>
        <v>37.158127993880953</v>
      </c>
      <c r="J146" s="15">
        <f>J145-'Output - Jobs vs Yr (BAU)'!J73</f>
        <v>64.33174543934183</v>
      </c>
      <c r="K146" s="15">
        <f>K145-'Output - Jobs vs Yr (BAU)'!K73</f>
        <v>117.75022522739619</v>
      </c>
      <c r="L146" s="15">
        <f>L145-'Output - Jobs vs Yr (BAU)'!L73</f>
        <v>170.31146933096352</v>
      </c>
      <c r="M146" s="15">
        <f>M145-'Output - Jobs vs Yr (BAU)'!M73</f>
        <v>225.635099496576</v>
      </c>
      <c r="N146" s="182">
        <f>N145-'Output - Jobs vs Yr (BAU)'!N73</f>
        <v>289.16620469962982</v>
      </c>
      <c r="O146" s="15">
        <f>O145-'Output - Jobs vs Yr (BAU)'!O73</f>
        <v>279.71719559824851</v>
      </c>
      <c r="P146" s="15">
        <f>P145-'Output - Jobs vs Yr (BAU)'!P73</f>
        <v>278.98586365433039</v>
      </c>
      <c r="Q146" s="15">
        <f>Q145-'Output - Jobs vs Yr (BAU)'!Q73</f>
        <v>285.01880471230015</v>
      </c>
      <c r="R146" s="15">
        <f>R145-'Output - Jobs vs Yr (BAU)'!R73</f>
        <v>290.6425960190345</v>
      </c>
      <c r="S146" s="15">
        <f>S145-'Output - Jobs vs Yr (BAU)'!S73</f>
        <v>296.4747006177613</v>
      </c>
      <c r="T146" s="15">
        <f>T145-'Output - Jobs vs Yr (BAU)'!T73</f>
        <v>300.39427953748509</v>
      </c>
      <c r="U146" s="15">
        <f>U145-'Output - Jobs vs Yr (BAU)'!U73</f>
        <v>305.16488033430142</v>
      </c>
      <c r="V146" s="15">
        <f>V145-'Output - Jobs vs Yr (BAU)'!V73</f>
        <v>310.11920302745966</v>
      </c>
      <c r="W146" s="15">
        <f>W145-'Output - Jobs vs Yr (BAU)'!W73</f>
        <v>315.51037157239352</v>
      </c>
      <c r="X146" s="190">
        <f>X145-'Output - Jobs vs Yr (BAU)'!X73</f>
        <v>320.7416108683301</v>
      </c>
      <c r="Y146" s="130">
        <f>Y145-'Output - Jobs vs Yr (BAU)'!Y73</f>
        <v>327.43162091597333</v>
      </c>
      <c r="Z146" s="130">
        <f>Z145-'Output - Jobs vs Yr (BAU)'!Z73</f>
        <v>333.17000528444987</v>
      </c>
      <c r="AA146" s="130">
        <f>AA145-'Output - Jobs vs Yr (BAU)'!AA73</f>
        <v>340.18943699364354</v>
      </c>
      <c r="AB146" s="130">
        <f>AB145-'Output - Jobs vs Yr (BAU)'!AB73</f>
        <v>346.22586728803708</v>
      </c>
      <c r="AC146" s="130">
        <f>AC145-'Output - Jobs vs Yr (BAU)'!AC73</f>
        <v>352.92112205363446</v>
      </c>
      <c r="AD146" s="130">
        <f>AD145-'Output - Jobs vs Yr (BAU)'!AD73</f>
        <v>342.7093799725435</v>
      </c>
      <c r="AE146" s="130">
        <f>AE145-'Output - Jobs vs Yr (BAU)'!AE73</f>
        <v>329.66794921305427</v>
      </c>
      <c r="AF146" s="130">
        <f>AF145-'Output - Jobs vs Yr (BAU)'!AF73</f>
        <v>332.02329014292627</v>
      </c>
      <c r="AG146" s="130">
        <f>AG145-'Output - Jobs vs Yr (BAU)'!AG73</f>
        <v>338.30964821442194</v>
      </c>
      <c r="AH146" s="190">
        <f>AH145-'Output - Jobs vs Yr (BAU)'!AH73</f>
        <v>343.20551686017097</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9864.9732799999983</v>
      </c>
      <c r="D176" s="334">
        <f>'Output - Jobs vs Yr (BAU)'!D55+'Output - Jobs vs Yr (BAU)'!D73</f>
        <v>10420.83728</v>
      </c>
      <c r="E176" s="334">
        <f>'Output - Jobs vs Yr (BAU)'!E55+'Output - Jobs vs Yr (BAU)'!E73</f>
        <v>10327.108688349655</v>
      </c>
      <c r="F176" s="334">
        <f>'Output - Jobs vs Yr (BAU)'!F55+'Output - Jobs vs Yr (BAU)'!F73</f>
        <v>10504.784951648395</v>
      </c>
      <c r="G176" s="334">
        <f>'Output - Jobs vs Yr (BAU)'!G55+'Output - Jobs vs Yr (BAU)'!G73</f>
        <v>10046.117457336935</v>
      </c>
      <c r="H176" s="404">
        <f>'Output - Jobs vs Yr (BAU)'!H55+'Output - Jobs vs Yr (BAU)'!H73</f>
        <v>10369.840682118567</v>
      </c>
      <c r="I176" s="19">
        <f>'Output - Jobs vs Yr (BAU)'!I55+'Output - Jobs vs Yr (BAU)'!I73</f>
        <v>11163.008228967121</v>
      </c>
      <c r="J176" s="19">
        <f>'Output - Jobs vs Yr (BAU)'!J55+'Output - Jobs vs Yr (BAU)'!J73</f>
        <v>11179.293155826508</v>
      </c>
      <c r="K176" s="19">
        <f>'Output - Jobs vs Yr (BAU)'!K55+'Output - Jobs vs Yr (BAU)'!K73</f>
        <v>11456.785116256686</v>
      </c>
      <c r="L176" s="19">
        <f>'Output - Jobs vs Yr (BAU)'!L55+'Output - Jobs vs Yr (BAU)'!L73</f>
        <v>11521.633936570133</v>
      </c>
      <c r="M176" s="19">
        <f>'Output - Jobs vs Yr (BAU)'!M55+'Output - Jobs vs Yr (BAU)'!M73</f>
        <v>11505.434307449701</v>
      </c>
      <c r="N176" s="182">
        <f>'Output - Jobs vs Yr (BAU)'!N55+'Output - Jobs vs Yr (BAU)'!N73</f>
        <v>11514.597029033524</v>
      </c>
      <c r="O176" s="19">
        <f>'Output - Jobs vs Yr (BAU)'!O55+'Output - Jobs vs Yr (BAU)'!O73</f>
        <v>11245.292096453451</v>
      </c>
      <c r="P176" s="19">
        <f>'Output - Jobs vs Yr (BAU)'!P55+'Output - Jobs vs Yr (BAU)'!P73</f>
        <v>11135.461961784958</v>
      </c>
      <c r="Q176" s="19">
        <f>'Output - Jobs vs Yr (BAU)'!Q55+'Output - Jobs vs Yr (BAU)'!Q73</f>
        <v>11144.189499695343</v>
      </c>
      <c r="R176" s="19">
        <f>'Output - Jobs vs Yr (BAU)'!R55+'Output - Jobs vs Yr (BAU)'!R73</f>
        <v>11145.745088888201</v>
      </c>
      <c r="S176" s="19">
        <f>'Output - Jobs vs Yr (BAU)'!S55+'Output - Jobs vs Yr (BAU)'!S73</f>
        <v>11155.495243469613</v>
      </c>
      <c r="T176" s="19">
        <f>'Output - Jobs vs Yr (BAU)'!T55+'Output - Jobs vs Yr (BAU)'!T73</f>
        <v>11134.022799000973</v>
      </c>
      <c r="U176" s="19">
        <f>'Output - Jobs vs Yr (BAU)'!U55+'Output - Jobs vs Yr (BAU)'!U73</f>
        <v>11126.279608316698</v>
      </c>
      <c r="V176" s="19">
        <f>'Output - Jobs vs Yr (BAU)'!V55+'Output - Jobs vs Yr (BAU)'!V73</f>
        <v>11116.685348905678</v>
      </c>
      <c r="W176" s="19">
        <f>'Output - Jobs vs Yr (BAU)'!W55+'Output - Jobs vs Yr (BAU)'!W73</f>
        <v>11115.185261602826</v>
      </c>
      <c r="X176" s="182">
        <f>'Output - Jobs vs Yr (BAU)'!X55+'Output - Jobs vs Yr (BAU)'!X73</f>
        <v>11111.558720619272</v>
      </c>
      <c r="Y176" s="206">
        <f>'Output - Jobs vs Yr (BAU)'!Y55+'Output - Jobs vs Yr (BAU)'!Y73</f>
        <v>11103.193175746936</v>
      </c>
      <c r="Z176" s="206">
        <f>'Output - Jobs vs Yr (BAU)'!Z55+'Output - Jobs vs Yr (BAU)'!Z73</f>
        <v>11077.022702423306</v>
      </c>
      <c r="AA176" s="206">
        <f>'Output - Jobs vs Yr (BAU)'!AA55+'Output - Jobs vs Yr (BAU)'!AA73</f>
        <v>11070.969693891133</v>
      </c>
      <c r="AB176" s="206">
        <f>'Output - Jobs vs Yr (BAU)'!AB55+'Output - Jobs vs Yr (BAU)'!AB73</f>
        <v>11072.858369160173</v>
      </c>
      <c r="AC176" s="206">
        <f>'Output - Jobs vs Yr (BAU)'!AC55+'Output - Jobs vs Yr (BAU)'!AC73</f>
        <v>11074.610791353138</v>
      </c>
      <c r="AD176" s="206">
        <f>'Output - Jobs vs Yr (BAU)'!AD55+'Output - Jobs vs Yr (BAU)'!AD73</f>
        <v>11211.979072747425</v>
      </c>
      <c r="AE176" s="206">
        <f>'Output - Jobs vs Yr (BAU)'!AE55+'Output - Jobs vs Yr (BAU)'!AE73</f>
        <v>11365.726812736437</v>
      </c>
      <c r="AF176" s="206">
        <f>'Output - Jobs vs Yr (BAU)'!AF55+'Output - Jobs vs Yr (BAU)'!AF73</f>
        <v>11402.497592882784</v>
      </c>
      <c r="AG176" s="206">
        <f>'Output - Jobs vs Yr (BAU)'!AG55+'Output - Jobs vs Yr (BAU)'!AG73</f>
        <v>11415.179803789841</v>
      </c>
      <c r="AH176" s="182">
        <f>'Output - Jobs vs Yr (BAU)'!AH55+'Output - Jobs vs Yr (BAU)'!AH73</f>
        <v>11437.026477856418</v>
      </c>
      <c r="AI176" s="1"/>
    </row>
    <row r="177" spans="1:35">
      <c r="A177" s="76" t="s">
        <v>300</v>
      </c>
      <c r="C177" s="334">
        <f>'Output - Jobs vs Yr (BAU)'!C55</f>
        <v>5192.0911999999998</v>
      </c>
      <c r="D177" s="334">
        <f>'Output - Jobs vs Yr (BAU)'!D55</f>
        <v>5484.6511999999993</v>
      </c>
      <c r="E177" s="334">
        <f>'Output - Jobs vs Yr (BAU)'!E55</f>
        <v>5435.3203622892925</v>
      </c>
      <c r="F177" s="334">
        <f>'Output - Jobs vs Yr (BAU)'!F55</f>
        <v>5528.8341850781017</v>
      </c>
      <c r="G177" s="334">
        <f>'Output - Jobs vs Yr (BAU)'!G55</f>
        <v>5287.4302407036503</v>
      </c>
      <c r="H177" s="404">
        <f>'Output - Jobs vs Yr (BAU)'!H55</f>
        <v>5457.8108853255608</v>
      </c>
      <c r="I177" s="19">
        <f>'Output - Jobs vs Yr (BAU)'!I55</f>
        <v>5875.2674889300642</v>
      </c>
      <c r="J177" s="19">
        <f>'Output - Jobs vs Yr (BAU)'!J55</f>
        <v>5883.8385030665822</v>
      </c>
      <c r="K177" s="19">
        <f>'Output - Jobs vs Yr (BAU)'!K55</f>
        <v>6029.8869032929924</v>
      </c>
      <c r="L177" s="19">
        <f>'Output - Jobs vs Yr (BAU)'!L55</f>
        <v>6064.0178613527014</v>
      </c>
      <c r="M177" s="19">
        <f>'Output - Jobs vs Yr (BAU)'!M55</f>
        <v>6055.4917407630001</v>
      </c>
      <c r="N177" s="182">
        <f>'Output - Jobs vs Yr (BAU)'!N55</f>
        <v>6060.3142258071175</v>
      </c>
      <c r="O177" s="19">
        <f>'Output - Jobs vs Yr (BAU)'!O55</f>
        <v>5918.57478760708</v>
      </c>
      <c r="P177" s="19">
        <f>'Output - Jobs vs Yr (BAU)'!P55</f>
        <v>5860.7694535710307</v>
      </c>
      <c r="Q177" s="19">
        <f>'Output - Jobs vs Yr (BAU)'!Q55</f>
        <v>5865.3628945764967</v>
      </c>
      <c r="R177" s="19">
        <f>'Output - Jobs vs Yr (BAU)'!R55</f>
        <v>5866.1816257306318</v>
      </c>
      <c r="S177" s="19">
        <f>'Output - Jobs vs Yr (BAU)'!S55</f>
        <v>5871.3132860366386</v>
      </c>
      <c r="T177" s="19">
        <f>'Output - Jobs vs Yr (BAU)'!T55</f>
        <v>5860.0119994741972</v>
      </c>
      <c r="U177" s="19">
        <f>'Output - Jobs vs Yr (BAU)'!U55</f>
        <v>5855.9366359561573</v>
      </c>
      <c r="V177" s="19">
        <f>'Output - Jobs vs Yr (BAU)'!V55</f>
        <v>5850.8870257398303</v>
      </c>
      <c r="W177" s="19">
        <f>'Output - Jobs vs Yr (BAU)'!W55</f>
        <v>5850.0975061067502</v>
      </c>
      <c r="X177" s="182">
        <f>'Output - Jobs vs Yr (BAU)'!X55</f>
        <v>5848.1888003259319</v>
      </c>
      <c r="Y177" s="206">
        <f>'Output - Jobs vs Yr (BAU)'!Y55</f>
        <v>5843.7858819720723</v>
      </c>
      <c r="Z177" s="206">
        <f>'Output - Jobs vs Yr (BAU)'!Z55</f>
        <v>5830.0119486438452</v>
      </c>
      <c r="AA177" s="206">
        <f>'Output - Jobs vs Yr (BAU)'!AA55</f>
        <v>5826.8261546795429</v>
      </c>
      <c r="AB177" s="206">
        <f>'Output - Jobs vs Yr (BAU)'!AB55</f>
        <v>5827.8201942948281</v>
      </c>
      <c r="AC177" s="206">
        <f>'Output - Jobs vs Yr (BAU)'!AC55</f>
        <v>5828.7425217648097</v>
      </c>
      <c r="AD177" s="206">
        <f>'Output - Jobs vs Yr (BAU)'!AD55</f>
        <v>5901.0416172354862</v>
      </c>
      <c r="AE177" s="206">
        <f>'Output - Jobs vs Yr (BAU)'!AE55</f>
        <v>5981.9614803875984</v>
      </c>
      <c r="AF177" s="206">
        <f>'Output - Jobs vs Yr (BAU)'!AF55</f>
        <v>6001.3145225698854</v>
      </c>
      <c r="AG177" s="206">
        <f>'Output - Jobs vs Yr (BAU)'!AG55</f>
        <v>6007.9893704157048</v>
      </c>
      <c r="AH177" s="182">
        <f>'Output - Jobs vs Yr (BAU)'!AH55</f>
        <v>6019.48761992443</v>
      </c>
      <c r="AI177" s="1"/>
    </row>
    <row r="178" spans="1:35">
      <c r="A178" s="76" t="s">
        <v>301</v>
      </c>
      <c r="C178" s="334">
        <f>'Output - Jobs vs Yr (BAU)'!C73</f>
        <v>4672.8820799999994</v>
      </c>
      <c r="D178" s="334">
        <f>'Output - Jobs vs Yr (BAU)'!D73</f>
        <v>4936.1860799999995</v>
      </c>
      <c r="E178" s="334">
        <f>'Output - Jobs vs Yr (BAU)'!E73</f>
        <v>4891.788326060363</v>
      </c>
      <c r="F178" s="334">
        <f>'Output - Jobs vs Yr (BAU)'!F73</f>
        <v>4975.9507665702922</v>
      </c>
      <c r="G178" s="334">
        <f>'Output - Jobs vs Yr (BAU)'!G73</f>
        <v>4758.6872166332851</v>
      </c>
      <c r="H178" s="404">
        <f>'Output - Jobs vs Yr (BAU)'!H73</f>
        <v>4912.0297967930055</v>
      </c>
      <c r="I178" s="19">
        <f>'Output - Jobs vs Yr (BAU)'!I73</f>
        <v>5287.7407400370566</v>
      </c>
      <c r="J178" s="19">
        <f>'Output - Jobs vs Yr (BAU)'!J73</f>
        <v>5295.454652759925</v>
      </c>
      <c r="K178" s="19">
        <f>'Output - Jobs vs Yr (BAU)'!K73</f>
        <v>5426.8982129636934</v>
      </c>
      <c r="L178" s="19">
        <f>'Output - Jobs vs Yr (BAU)'!L73</f>
        <v>5457.6160752174319</v>
      </c>
      <c r="M178" s="19">
        <f>'Output - Jobs vs Yr (BAU)'!M73</f>
        <v>5449.942566686701</v>
      </c>
      <c r="N178" s="182">
        <f>'Output - Jobs vs Yr (BAU)'!N73</f>
        <v>5454.282803226406</v>
      </c>
      <c r="O178" s="19">
        <f>'Output - Jobs vs Yr (BAU)'!O73</f>
        <v>5326.7173088463715</v>
      </c>
      <c r="P178" s="19">
        <f>'Output - Jobs vs Yr (BAU)'!P73</f>
        <v>5274.6925082139278</v>
      </c>
      <c r="Q178" s="19">
        <f>'Output - Jobs vs Yr (BAU)'!Q73</f>
        <v>5278.8266051188466</v>
      </c>
      <c r="R178" s="19">
        <f>'Output - Jobs vs Yr (BAU)'!R73</f>
        <v>5279.5634631575695</v>
      </c>
      <c r="S178" s="19">
        <f>'Output - Jobs vs Yr (BAU)'!S73</f>
        <v>5284.1819574329747</v>
      </c>
      <c r="T178" s="19">
        <f>'Output - Jobs vs Yr (BAU)'!T73</f>
        <v>5274.0107995267772</v>
      </c>
      <c r="U178" s="19">
        <f>'Output - Jobs vs Yr (BAU)'!U73</f>
        <v>5270.3429723605414</v>
      </c>
      <c r="V178" s="19">
        <f>'Output - Jobs vs Yr (BAU)'!V73</f>
        <v>5265.7983231658473</v>
      </c>
      <c r="W178" s="19">
        <f>'Output - Jobs vs Yr (BAU)'!W73</f>
        <v>5265.0877554960753</v>
      </c>
      <c r="X178" s="182">
        <f>'Output - Jobs vs Yr (BAU)'!X73</f>
        <v>5263.3699202933394</v>
      </c>
      <c r="Y178" s="206">
        <f>'Output - Jobs vs Yr (BAU)'!Y73</f>
        <v>5259.4072937748642</v>
      </c>
      <c r="Z178" s="206">
        <f>'Output - Jobs vs Yr (BAU)'!Z73</f>
        <v>5247.0107537794611</v>
      </c>
      <c r="AA178" s="206">
        <f>'Output - Jobs vs Yr (BAU)'!AA73</f>
        <v>5244.1435392115891</v>
      </c>
      <c r="AB178" s="206">
        <f>'Output - Jobs vs Yr (BAU)'!AB73</f>
        <v>5245.0381748653444</v>
      </c>
      <c r="AC178" s="206">
        <f>'Output - Jobs vs Yr (BAU)'!AC73</f>
        <v>5245.8682695883281</v>
      </c>
      <c r="AD178" s="206">
        <f>'Output - Jobs vs Yr (BAU)'!AD73</f>
        <v>5310.9374555119375</v>
      </c>
      <c r="AE178" s="206">
        <f>'Output - Jobs vs Yr (BAU)'!AE73</f>
        <v>5383.7653323488394</v>
      </c>
      <c r="AF178" s="206">
        <f>'Output - Jobs vs Yr (BAU)'!AF73</f>
        <v>5401.1830703128981</v>
      </c>
      <c r="AG178" s="206">
        <f>'Output - Jobs vs Yr (BAU)'!AG73</f>
        <v>5407.190433374135</v>
      </c>
      <c r="AH178" s="182">
        <f>'Output - Jobs vs Yr (BAU)'!AH73</f>
        <v>5417.5388579319879</v>
      </c>
      <c r="AI178" s="80" t="s">
        <v>0</v>
      </c>
    </row>
    <row r="179" spans="1:35">
      <c r="A179" s="75" t="s">
        <v>298</v>
      </c>
      <c r="C179" s="331">
        <f>SUM(C118,C145)</f>
        <v>9864.9730099999997</v>
      </c>
      <c r="D179" s="331">
        <f t="shared" ref="D179:AH179" si="99">SUM(D118,D145)+D249+D252</f>
        <v>10418.341885976453</v>
      </c>
      <c r="E179" s="331">
        <f t="shared" si="99"/>
        <v>10319.831093967277</v>
      </c>
      <c r="F179" s="331">
        <f t="shared" si="99"/>
        <v>10502.809573305974</v>
      </c>
      <c r="G179" s="331">
        <f t="shared" si="99"/>
        <v>10052.076345786903</v>
      </c>
      <c r="H179" s="402">
        <f>SUM(H118,H145)+H249+H252</f>
        <v>10369.625142118568</v>
      </c>
      <c r="I179" s="14">
        <f t="shared" si="99"/>
        <v>11241.453522471742</v>
      </c>
      <c r="J179" s="14">
        <f t="shared" si="99"/>
        <v>11315.105012266114</v>
      </c>
      <c r="K179" s="14">
        <f t="shared" si="99"/>
        <v>11705.369371354845</v>
      </c>
      <c r="L179" s="14">
        <f t="shared" si="99"/>
        <v>11881.180867786439</v>
      </c>
      <c r="M179" s="14">
        <f t="shared" si="99"/>
        <v>11981.775620195651</v>
      </c>
      <c r="N179" s="187">
        <f t="shared" si="99"/>
        <v>12125.059621714532</v>
      </c>
      <c r="O179" s="14">
        <f t="shared" si="99"/>
        <v>11835.806772010003</v>
      </c>
      <c r="P179" s="14">
        <f t="shared" si="99"/>
        <v>11724.432713952567</v>
      </c>
      <c r="Q179" s="14">
        <f t="shared" si="99"/>
        <v>11745.896466962431</v>
      </c>
      <c r="R179" s="14">
        <f t="shared" si="99"/>
        <v>11759.324510321005</v>
      </c>
      <c r="S179" s="14">
        <f t="shared" si="99"/>
        <v>11781.386892064205</v>
      </c>
      <c r="T179" s="14">
        <f t="shared" si="99"/>
        <v>11768.189118793958</v>
      </c>
      <c r="U179" s="14">
        <f t="shared" si="99"/>
        <v>11770.517201880539</v>
      </c>
      <c r="V179" s="14">
        <f t="shared" si="99"/>
        <v>11771.382073543316</v>
      </c>
      <c r="W179" s="14">
        <f t="shared" si="99"/>
        <v>11781.263347961903</v>
      </c>
      <c r="X179" s="187">
        <f t="shared" si="99"/>
        <v>11788.680540203792</v>
      </c>
      <c r="Y179" s="158">
        <f t="shared" si="99"/>
        <v>11794.438357558365</v>
      </c>
      <c r="Z179" s="158">
        <f t="shared" si="99"/>
        <v>11780.382257921869</v>
      </c>
      <c r="AA179" s="158">
        <f t="shared" si="99"/>
        <v>11789.148057663293</v>
      </c>
      <c r="AB179" s="158">
        <f t="shared" si="99"/>
        <v>11803.780316409448</v>
      </c>
      <c r="AC179" s="158">
        <f t="shared" si="99"/>
        <v>11819.667173906215</v>
      </c>
      <c r="AD179" s="158">
        <f t="shared" si="99"/>
        <v>11935.477347483946</v>
      </c>
      <c r="AE179" s="158">
        <f t="shared" si="99"/>
        <v>12061.693193271505</v>
      </c>
      <c r="AF179" s="158">
        <f t="shared" si="99"/>
        <v>12103.436370336189</v>
      </c>
      <c r="AG179" s="158">
        <f t="shared" si="99"/>
        <v>12129.389791333553</v>
      </c>
      <c r="AH179" s="187">
        <f t="shared" si="99"/>
        <v>12161.572198299502</v>
      </c>
    </row>
    <row r="180" spans="1:35">
      <c r="A180" s="76" t="s">
        <v>302</v>
      </c>
      <c r="C180" s="331">
        <f>C118</f>
        <v>5192.0911999999998</v>
      </c>
      <c r="D180" s="331">
        <f t="shared" ref="D180:AH180" si="100">D118+D250+D253</f>
        <v>5483.3379989158311</v>
      </c>
      <c r="E180" s="331">
        <f t="shared" si="100"/>
        <v>5431.4902310424295</v>
      </c>
      <c r="F180" s="331">
        <f t="shared" si="100"/>
        <v>5527.7947183283459</v>
      </c>
      <c r="G180" s="331">
        <f t="shared" si="100"/>
        <v>5290.5667128010809</v>
      </c>
      <c r="H180" s="402">
        <f t="shared" si="100"/>
        <v>5457.6975853255617</v>
      </c>
      <c r="I180" s="14">
        <f t="shared" si="100"/>
        <v>5916.5546544408044</v>
      </c>
      <c r="J180" s="14">
        <f t="shared" si="100"/>
        <v>5955.3186140668467</v>
      </c>
      <c r="K180" s="14">
        <f t="shared" si="100"/>
        <v>6160.7209331637569</v>
      </c>
      <c r="L180" s="14">
        <f t="shared" si="100"/>
        <v>6253.2533232380429</v>
      </c>
      <c r="M180" s="14">
        <f t="shared" si="100"/>
        <v>6306.197954012373</v>
      </c>
      <c r="N180" s="187">
        <f t="shared" si="100"/>
        <v>6381.6106137884954</v>
      </c>
      <c r="O180" s="14">
        <f t="shared" si="100"/>
        <v>6229.3722675653826</v>
      </c>
      <c r="P180" s="14">
        <f t="shared" si="100"/>
        <v>6170.7543420843094</v>
      </c>
      <c r="Q180" s="14">
        <f t="shared" si="100"/>
        <v>6182.0510571312843</v>
      </c>
      <c r="R180" s="14">
        <f t="shared" si="100"/>
        <v>6189.1184511444008</v>
      </c>
      <c r="S180" s="14">
        <f t="shared" si="100"/>
        <v>6200.7302340134702</v>
      </c>
      <c r="T180" s="14">
        <f t="shared" si="100"/>
        <v>6193.7840397296968</v>
      </c>
      <c r="U180" s="14">
        <f t="shared" si="100"/>
        <v>6195.009349185696</v>
      </c>
      <c r="V180" s="14">
        <f t="shared" si="100"/>
        <v>6195.4645473500095</v>
      </c>
      <c r="W180" s="14">
        <f t="shared" si="100"/>
        <v>6200.6652208934347</v>
      </c>
      <c r="X180" s="187">
        <f t="shared" si="100"/>
        <v>6204.5690090421222</v>
      </c>
      <c r="Y180" s="158">
        <f t="shared" si="100"/>
        <v>6207.5994428675276</v>
      </c>
      <c r="Z180" s="158">
        <f t="shared" si="100"/>
        <v>6200.2014988579585</v>
      </c>
      <c r="AA180" s="158">
        <f t="shared" si="100"/>
        <v>6204.8150814580604</v>
      </c>
      <c r="AB180" s="158">
        <f t="shared" si="100"/>
        <v>6212.516274256066</v>
      </c>
      <c r="AC180" s="158">
        <f t="shared" si="100"/>
        <v>6220.8777822642533</v>
      </c>
      <c r="AD180" s="158">
        <f t="shared" si="100"/>
        <v>6281.8305119994648</v>
      </c>
      <c r="AE180" s="158">
        <f t="shared" si="100"/>
        <v>6348.2599117096106</v>
      </c>
      <c r="AF180" s="158">
        <f t="shared" si="100"/>
        <v>6370.2300098803635</v>
      </c>
      <c r="AG180" s="158">
        <f t="shared" si="100"/>
        <v>6383.8897097449953</v>
      </c>
      <c r="AH180" s="187">
        <f t="shared" si="100"/>
        <v>6400.827823507344</v>
      </c>
    </row>
    <row r="181" spans="1:35">
      <c r="A181" s="76" t="s">
        <v>303</v>
      </c>
      <c r="C181" s="331">
        <f>C145</f>
        <v>4672.8818099999999</v>
      </c>
      <c r="D181" s="331">
        <f t="shared" ref="D181:AH181" si="101">D145+D251+D254</f>
        <v>4935.0038870606222</v>
      </c>
      <c r="E181" s="331">
        <f t="shared" si="101"/>
        <v>4888.3408629248488</v>
      </c>
      <c r="F181" s="331">
        <f t="shared" si="101"/>
        <v>4975.0148549776277</v>
      </c>
      <c r="G181" s="331">
        <f t="shared" si="101"/>
        <v>4761.5096329858216</v>
      </c>
      <c r="H181" s="402">
        <f>H145+H251+H254</f>
        <v>4911.9275567930063</v>
      </c>
      <c r="I181" s="14">
        <f t="shared" si="101"/>
        <v>5324.8988680309376</v>
      </c>
      <c r="J181" s="14">
        <f t="shared" si="101"/>
        <v>5359.7863981992668</v>
      </c>
      <c r="K181" s="14">
        <f t="shared" si="101"/>
        <v>5544.6484381910896</v>
      </c>
      <c r="L181" s="14">
        <f t="shared" si="101"/>
        <v>5627.9275445483954</v>
      </c>
      <c r="M181" s="14">
        <f t="shared" si="101"/>
        <v>5675.577666183277</v>
      </c>
      <c r="N181" s="187">
        <f t="shared" si="101"/>
        <v>5743.4490079260358</v>
      </c>
      <c r="O181" s="14">
        <f t="shared" si="101"/>
        <v>5606.43450444462</v>
      </c>
      <c r="P181" s="14">
        <f t="shared" si="101"/>
        <v>5553.6783718682582</v>
      </c>
      <c r="Q181" s="14">
        <f t="shared" si="101"/>
        <v>5563.8454098311468</v>
      </c>
      <c r="R181" s="14">
        <f t="shared" si="101"/>
        <v>5570.206059176604</v>
      </c>
      <c r="S181" s="14">
        <f t="shared" si="101"/>
        <v>5580.656658050736</v>
      </c>
      <c r="T181" s="14">
        <f t="shared" si="101"/>
        <v>5574.4050790642623</v>
      </c>
      <c r="U181" s="14">
        <f t="shared" si="101"/>
        <v>5575.5078526948428</v>
      </c>
      <c r="V181" s="14">
        <f t="shared" si="101"/>
        <v>5575.9175261933069</v>
      </c>
      <c r="W181" s="14">
        <f t="shared" si="101"/>
        <v>5580.5981270684688</v>
      </c>
      <c r="X181" s="187">
        <f t="shared" si="101"/>
        <v>5584.1115311616695</v>
      </c>
      <c r="Y181" s="158">
        <f t="shared" si="101"/>
        <v>5586.8389146908376</v>
      </c>
      <c r="Z181" s="158">
        <f t="shared" si="101"/>
        <v>5580.180759063911</v>
      </c>
      <c r="AA181" s="158">
        <f t="shared" si="101"/>
        <v>5584.3329762052326</v>
      </c>
      <c r="AB181" s="158">
        <f t="shared" si="101"/>
        <v>5591.2640421533815</v>
      </c>
      <c r="AC181" s="158">
        <f t="shared" si="101"/>
        <v>5598.7893916419625</v>
      </c>
      <c r="AD181" s="158">
        <f t="shared" si="101"/>
        <v>5653.646835484481</v>
      </c>
      <c r="AE181" s="158">
        <f t="shared" si="101"/>
        <v>5713.4332815618936</v>
      </c>
      <c r="AF181" s="158">
        <f t="shared" si="101"/>
        <v>5733.2063604558243</v>
      </c>
      <c r="AG181" s="158">
        <f t="shared" si="101"/>
        <v>5745.5000815885569</v>
      </c>
      <c r="AH181" s="187">
        <f t="shared" si="101"/>
        <v>5760.7443747921589</v>
      </c>
      <c r="AI181" s="31" t="s">
        <v>0</v>
      </c>
    </row>
    <row r="182" spans="1:35" s="1" customFormat="1">
      <c r="A182" s="75" t="s">
        <v>304</v>
      </c>
      <c r="B182" s="13"/>
      <c r="C182" s="341" t="s">
        <v>0</v>
      </c>
      <c r="D182" s="341">
        <f t="shared" ref="D182:AH182" si="102">D179-D176</f>
        <v>-2.4953940235463961</v>
      </c>
      <c r="E182" s="341">
        <f t="shared" si="102"/>
        <v>-7.2775943823780835</v>
      </c>
      <c r="F182" s="341">
        <f t="shared" si="102"/>
        <v>-1.9753783424202993</v>
      </c>
      <c r="G182" s="341">
        <f t="shared" si="102"/>
        <v>5.9588884499680717</v>
      </c>
      <c r="H182" s="405">
        <f>H179-H176</f>
        <v>-0.2155399999992369</v>
      </c>
      <c r="I182" s="15">
        <f t="shared" si="102"/>
        <v>78.445293504621077</v>
      </c>
      <c r="J182" s="15">
        <f t="shared" si="102"/>
        <v>135.81185643960634</v>
      </c>
      <c r="K182" s="15">
        <f t="shared" si="102"/>
        <v>248.5842550981597</v>
      </c>
      <c r="L182" s="15">
        <f t="shared" si="102"/>
        <v>359.54693121630589</v>
      </c>
      <c r="M182" s="15">
        <f t="shared" si="102"/>
        <v>476.34131274594984</v>
      </c>
      <c r="N182" s="190">
        <f t="shared" si="102"/>
        <v>610.46259268100766</v>
      </c>
      <c r="O182" s="15">
        <f t="shared" si="102"/>
        <v>590.51467555655108</v>
      </c>
      <c r="P182" s="15">
        <f t="shared" si="102"/>
        <v>588.97075216760823</v>
      </c>
      <c r="Q182" s="15">
        <f t="shared" si="102"/>
        <v>601.70696726708775</v>
      </c>
      <c r="R182" s="15">
        <f t="shared" si="102"/>
        <v>613.57942143280343</v>
      </c>
      <c r="S182" s="15">
        <f t="shared" si="102"/>
        <v>625.89164859459197</v>
      </c>
      <c r="T182" s="15">
        <f t="shared" si="102"/>
        <v>634.16631979298472</v>
      </c>
      <c r="U182" s="15">
        <f t="shared" si="102"/>
        <v>644.23759356384107</v>
      </c>
      <c r="V182" s="15">
        <f t="shared" si="102"/>
        <v>654.69672463763891</v>
      </c>
      <c r="W182" s="15">
        <f t="shared" si="102"/>
        <v>666.07808635907713</v>
      </c>
      <c r="X182" s="190">
        <f t="shared" si="102"/>
        <v>677.12181958451947</v>
      </c>
      <c r="Y182" s="130">
        <f t="shared" si="102"/>
        <v>691.24518181142957</v>
      </c>
      <c r="Z182" s="130">
        <f t="shared" si="102"/>
        <v>703.35955549856226</v>
      </c>
      <c r="AA182" s="130">
        <f t="shared" si="102"/>
        <v>718.17836377216008</v>
      </c>
      <c r="AB182" s="130">
        <f t="shared" si="102"/>
        <v>730.92194724927504</v>
      </c>
      <c r="AC182" s="130">
        <f t="shared" si="102"/>
        <v>745.05638255307713</v>
      </c>
      <c r="AD182" s="130">
        <f t="shared" si="102"/>
        <v>723.49827473652113</v>
      </c>
      <c r="AE182" s="130">
        <f t="shared" si="102"/>
        <v>695.96638053506831</v>
      </c>
      <c r="AF182" s="130">
        <f t="shared" si="102"/>
        <v>700.93877745340433</v>
      </c>
      <c r="AG182" s="130">
        <f t="shared" si="102"/>
        <v>714.20998754371249</v>
      </c>
      <c r="AH182" s="190">
        <f t="shared" si="102"/>
        <v>724.54572044308406</v>
      </c>
    </row>
    <row r="183" spans="1:35" s="20" customFormat="1">
      <c r="A183" s="20" t="s">
        <v>305</v>
      </c>
      <c r="B183" s="33"/>
      <c r="C183" s="334" t="s">
        <v>0</v>
      </c>
      <c r="D183" s="334">
        <f t="shared" ref="D183:AH183" si="103">D180-D177</f>
        <v>-1.3132010841682131</v>
      </c>
      <c r="E183" s="334">
        <f t="shared" si="103"/>
        <v>-3.8301312468629476</v>
      </c>
      <c r="F183" s="334">
        <f t="shared" si="103"/>
        <v>-1.0394667497557748</v>
      </c>
      <c r="G183" s="334">
        <f t="shared" si="103"/>
        <v>3.1364720974306692</v>
      </c>
      <c r="H183" s="404">
        <f>H180-H177</f>
        <v>-0.11329999999907159</v>
      </c>
      <c r="I183" s="19">
        <f t="shared" si="103"/>
        <v>41.287165510740124</v>
      </c>
      <c r="J183" s="19">
        <f t="shared" si="103"/>
        <v>71.480111000264515</v>
      </c>
      <c r="K183" s="19">
        <f t="shared" si="103"/>
        <v>130.83402987076443</v>
      </c>
      <c r="L183" s="19">
        <f t="shared" si="103"/>
        <v>189.23546188534146</v>
      </c>
      <c r="M183" s="19">
        <f t="shared" si="103"/>
        <v>250.70621324937292</v>
      </c>
      <c r="N183" s="182">
        <f t="shared" si="103"/>
        <v>321.29638798137785</v>
      </c>
      <c r="O183" s="19">
        <f t="shared" si="103"/>
        <v>310.79747995830257</v>
      </c>
      <c r="P183" s="19">
        <f t="shared" si="103"/>
        <v>309.98488851327875</v>
      </c>
      <c r="Q183" s="19">
        <f t="shared" si="103"/>
        <v>316.6881625547876</v>
      </c>
      <c r="R183" s="19">
        <f t="shared" si="103"/>
        <v>322.93682541376893</v>
      </c>
      <c r="S183" s="19">
        <f t="shared" si="103"/>
        <v>329.41694797683158</v>
      </c>
      <c r="T183" s="19">
        <f t="shared" si="103"/>
        <v>333.77204025549963</v>
      </c>
      <c r="U183" s="19">
        <f t="shared" si="103"/>
        <v>339.07271322953875</v>
      </c>
      <c r="V183" s="19">
        <f t="shared" si="103"/>
        <v>344.57752161017925</v>
      </c>
      <c r="W183" s="19">
        <f t="shared" si="103"/>
        <v>350.56771478668452</v>
      </c>
      <c r="X183" s="182">
        <f t="shared" si="103"/>
        <v>356.38020871619028</v>
      </c>
      <c r="Y183" s="206">
        <f t="shared" si="103"/>
        <v>363.81356089545534</v>
      </c>
      <c r="Z183" s="206">
        <f t="shared" si="103"/>
        <v>370.1895502141133</v>
      </c>
      <c r="AA183" s="206">
        <f t="shared" si="103"/>
        <v>377.98892677851745</v>
      </c>
      <c r="AB183" s="206">
        <f t="shared" si="103"/>
        <v>384.69607996123796</v>
      </c>
      <c r="AC183" s="206">
        <f t="shared" si="103"/>
        <v>392.13526049944358</v>
      </c>
      <c r="AD183" s="206">
        <f t="shared" si="103"/>
        <v>380.78889476397853</v>
      </c>
      <c r="AE183" s="206">
        <f t="shared" si="103"/>
        <v>366.29843132201222</v>
      </c>
      <c r="AF183" s="206">
        <f t="shared" si="103"/>
        <v>368.91548731047806</v>
      </c>
      <c r="AG183" s="206">
        <f t="shared" si="103"/>
        <v>375.90033932929055</v>
      </c>
      <c r="AH183" s="182">
        <f t="shared" si="103"/>
        <v>381.340203582914</v>
      </c>
    </row>
    <row r="184" spans="1:35" s="20" customFormat="1">
      <c r="A184" s="20" t="s">
        <v>306</v>
      </c>
      <c r="B184" s="33"/>
      <c r="C184" s="334" t="s">
        <v>0</v>
      </c>
      <c r="D184" s="334">
        <f t="shared" ref="D184:AH184" si="104">D181-D178</f>
        <v>-1.1821929393772734</v>
      </c>
      <c r="E184" s="334">
        <f t="shared" si="104"/>
        <v>-3.4474631355142265</v>
      </c>
      <c r="F184" s="334">
        <f t="shared" si="104"/>
        <v>-0.93591159266452451</v>
      </c>
      <c r="G184" s="334">
        <f t="shared" si="104"/>
        <v>2.8224163525364929</v>
      </c>
      <c r="H184" s="404">
        <f t="shared" si="104"/>
        <v>-0.10223999999925582</v>
      </c>
      <c r="I184" s="19">
        <f t="shared" si="104"/>
        <v>37.158127993880953</v>
      </c>
      <c r="J184" s="19">
        <f t="shared" si="104"/>
        <v>64.33174543934183</v>
      </c>
      <c r="K184" s="19">
        <f t="shared" si="104"/>
        <v>117.75022522739619</v>
      </c>
      <c r="L184" s="19">
        <f t="shared" si="104"/>
        <v>170.31146933096352</v>
      </c>
      <c r="M184" s="19">
        <f t="shared" si="104"/>
        <v>225.635099496576</v>
      </c>
      <c r="N184" s="182">
        <f t="shared" si="104"/>
        <v>289.16620469962982</v>
      </c>
      <c r="O184" s="19">
        <f t="shared" si="104"/>
        <v>279.71719559824851</v>
      </c>
      <c r="P184" s="19">
        <f t="shared" si="104"/>
        <v>278.98586365433039</v>
      </c>
      <c r="Q184" s="19">
        <f t="shared" si="104"/>
        <v>285.01880471230015</v>
      </c>
      <c r="R184" s="19">
        <f t="shared" si="104"/>
        <v>290.6425960190345</v>
      </c>
      <c r="S184" s="19">
        <f t="shared" si="104"/>
        <v>296.4747006177613</v>
      </c>
      <c r="T184" s="19">
        <f t="shared" si="104"/>
        <v>300.39427953748509</v>
      </c>
      <c r="U184" s="19">
        <f t="shared" si="104"/>
        <v>305.16488033430142</v>
      </c>
      <c r="V184" s="19">
        <f t="shared" si="104"/>
        <v>310.11920302745966</v>
      </c>
      <c r="W184" s="19">
        <f t="shared" si="104"/>
        <v>315.51037157239352</v>
      </c>
      <c r="X184" s="182">
        <f t="shared" si="104"/>
        <v>320.7416108683301</v>
      </c>
      <c r="Y184" s="206">
        <f t="shared" si="104"/>
        <v>327.43162091597333</v>
      </c>
      <c r="Z184" s="206">
        <f t="shared" si="104"/>
        <v>333.17000528444987</v>
      </c>
      <c r="AA184" s="206">
        <f t="shared" si="104"/>
        <v>340.18943699364354</v>
      </c>
      <c r="AB184" s="206">
        <f t="shared" si="104"/>
        <v>346.22586728803708</v>
      </c>
      <c r="AC184" s="206">
        <f t="shared" si="104"/>
        <v>352.92112205363446</v>
      </c>
      <c r="AD184" s="206">
        <f t="shared" si="104"/>
        <v>342.7093799725435</v>
      </c>
      <c r="AE184" s="206">
        <f t="shared" si="104"/>
        <v>329.66794921305427</v>
      </c>
      <c r="AF184" s="206">
        <f t="shared" si="104"/>
        <v>332.02329014292627</v>
      </c>
      <c r="AG184" s="206">
        <f t="shared" si="104"/>
        <v>338.30964821442194</v>
      </c>
      <c r="AH184" s="182">
        <f t="shared" si="104"/>
        <v>343.20551686017097</v>
      </c>
    </row>
    <row r="185" spans="1:35" s="1" customFormat="1">
      <c r="A185" s="1" t="s">
        <v>450</v>
      </c>
      <c r="B185" s="13"/>
      <c r="C185" s="341"/>
      <c r="D185" s="341">
        <f>D182</f>
        <v>-2.4953940235463961</v>
      </c>
      <c r="E185" s="341">
        <f>D185+E182</f>
        <v>-9.7729884059244796</v>
      </c>
      <c r="F185" s="341">
        <f t="shared" ref="E185:N187" si="105">E185+F182</f>
        <v>-11.748366748344779</v>
      </c>
      <c r="G185" s="341">
        <f t="shared" si="105"/>
        <v>-5.7894782983767072</v>
      </c>
      <c r="H185" s="405">
        <f t="shared" si="105"/>
        <v>-6.0050182983759441</v>
      </c>
      <c r="I185" s="15">
        <f t="shared" si="105"/>
        <v>72.440275206245133</v>
      </c>
      <c r="J185" s="15">
        <f t="shared" si="105"/>
        <v>208.25213164585148</v>
      </c>
      <c r="K185" s="15">
        <f t="shared" si="105"/>
        <v>456.83638674401118</v>
      </c>
      <c r="L185" s="15">
        <f t="shared" si="105"/>
        <v>816.38331796031707</v>
      </c>
      <c r="M185" s="15">
        <f t="shared" si="105"/>
        <v>1292.7246307062669</v>
      </c>
      <c r="N185" s="15">
        <f t="shared" si="105"/>
        <v>1903.1872233872746</v>
      </c>
      <c r="O185" s="15">
        <f t="shared" ref="O185:X185" si="106">N185+O182</f>
        <v>2493.7018989438257</v>
      </c>
      <c r="P185" s="15">
        <f t="shared" si="106"/>
        <v>3082.6726511114339</v>
      </c>
      <c r="Q185" s="15">
        <f t="shared" si="106"/>
        <v>3684.3796183785216</v>
      </c>
      <c r="R185" s="15">
        <f t="shared" si="106"/>
        <v>4297.9590398113251</v>
      </c>
      <c r="S185" s="130">
        <f t="shared" si="106"/>
        <v>4923.850688405917</v>
      </c>
      <c r="T185" s="15">
        <f t="shared" si="106"/>
        <v>5558.0170081989017</v>
      </c>
      <c r="U185" s="15">
        <f t="shared" si="106"/>
        <v>6202.2546017627428</v>
      </c>
      <c r="V185" s="15">
        <f t="shared" si="106"/>
        <v>6856.9513264003817</v>
      </c>
      <c r="W185" s="15">
        <f t="shared" si="106"/>
        <v>7523.0294127594589</v>
      </c>
      <c r="X185" s="190">
        <f t="shared" si="106"/>
        <v>8200.1512323439783</v>
      </c>
      <c r="Y185" s="130">
        <f t="shared" ref="Y185:AH185" si="107">X185+Y182</f>
        <v>8891.3964141554079</v>
      </c>
      <c r="Z185" s="130">
        <f t="shared" si="107"/>
        <v>9594.7559696539702</v>
      </c>
      <c r="AA185" s="130">
        <f t="shared" si="107"/>
        <v>10312.93433342613</v>
      </c>
      <c r="AB185" s="130">
        <f t="shared" si="107"/>
        <v>11043.856280675405</v>
      </c>
      <c r="AC185" s="130">
        <f t="shared" si="107"/>
        <v>11788.912663228482</v>
      </c>
      <c r="AD185" s="130">
        <f t="shared" si="107"/>
        <v>12512.410937965004</v>
      </c>
      <c r="AE185" s="130">
        <f t="shared" si="107"/>
        <v>13208.377318500072</v>
      </c>
      <c r="AF185" s="130">
        <f t="shared" si="107"/>
        <v>13909.316095953476</v>
      </c>
      <c r="AG185" s="130">
        <f t="shared" si="107"/>
        <v>14623.526083497189</v>
      </c>
      <c r="AH185" s="190">
        <f t="shared" si="107"/>
        <v>15348.071803940273</v>
      </c>
    </row>
    <row r="186" spans="1:35" s="20" customFormat="1">
      <c r="A186" s="20" t="s">
        <v>451</v>
      </c>
      <c r="B186" s="33"/>
      <c r="C186" s="334"/>
      <c r="D186" s="334">
        <f>D183</f>
        <v>-1.3132010841682131</v>
      </c>
      <c r="E186" s="334">
        <f t="shared" si="105"/>
        <v>-5.1433323310311607</v>
      </c>
      <c r="F186" s="334">
        <f t="shared" si="105"/>
        <v>-6.1827990807869355</v>
      </c>
      <c r="G186" s="334">
        <f t="shared" si="105"/>
        <v>-3.0463269833562663</v>
      </c>
      <c r="H186" s="404">
        <f t="shared" si="105"/>
        <v>-3.1596269833553379</v>
      </c>
      <c r="I186" s="19">
        <f t="shared" ref="I186:X186" si="108">H186+I183</f>
        <v>38.127538527384786</v>
      </c>
      <c r="J186" s="19">
        <f t="shared" si="108"/>
        <v>109.6076495276493</v>
      </c>
      <c r="K186" s="19">
        <f t="shared" si="108"/>
        <v>240.44167939841373</v>
      </c>
      <c r="L186" s="19">
        <f t="shared" si="108"/>
        <v>429.67714128375519</v>
      </c>
      <c r="M186" s="19">
        <f t="shared" si="108"/>
        <v>680.38335453312811</v>
      </c>
      <c r="N186" s="182">
        <f t="shared" si="108"/>
        <v>1001.679742514506</v>
      </c>
      <c r="O186" s="19">
        <f t="shared" si="108"/>
        <v>1312.4772224728085</v>
      </c>
      <c r="P186" s="19">
        <f t="shared" si="108"/>
        <v>1622.4621109860873</v>
      </c>
      <c r="Q186" s="19">
        <f t="shared" si="108"/>
        <v>1939.1502735408749</v>
      </c>
      <c r="R186" s="19">
        <f t="shared" si="108"/>
        <v>2262.0870989546438</v>
      </c>
      <c r="S186" s="206">
        <f t="shared" si="108"/>
        <v>2591.5040469314754</v>
      </c>
      <c r="T186" s="19">
        <f t="shared" si="108"/>
        <v>2925.276087186975</v>
      </c>
      <c r="U186" s="19">
        <f t="shared" si="108"/>
        <v>3264.3488004165138</v>
      </c>
      <c r="V186" s="19">
        <f t="shared" si="108"/>
        <v>3608.926322026693</v>
      </c>
      <c r="W186" s="19">
        <f t="shared" si="108"/>
        <v>3959.4940368133775</v>
      </c>
      <c r="X186" s="182">
        <f t="shared" si="108"/>
        <v>4315.8742455295678</v>
      </c>
      <c r="Y186" s="206">
        <f t="shared" ref="Y186:AH186" si="109">X186+Y183</f>
        <v>4679.6878064250232</v>
      </c>
      <c r="Z186" s="206">
        <f t="shared" si="109"/>
        <v>5049.8773566391365</v>
      </c>
      <c r="AA186" s="206">
        <f t="shared" si="109"/>
        <v>5427.8662834176539</v>
      </c>
      <c r="AB186" s="206">
        <f t="shared" si="109"/>
        <v>5812.5623633788919</v>
      </c>
      <c r="AC186" s="206">
        <f t="shared" si="109"/>
        <v>6204.6976238783354</v>
      </c>
      <c r="AD186" s="206">
        <f t="shared" si="109"/>
        <v>6585.486518642314</v>
      </c>
      <c r="AE186" s="206">
        <f t="shared" si="109"/>
        <v>6951.7849499643262</v>
      </c>
      <c r="AF186" s="206">
        <f t="shared" si="109"/>
        <v>7320.7004372748042</v>
      </c>
      <c r="AG186" s="206">
        <f t="shared" si="109"/>
        <v>7696.6007766040948</v>
      </c>
      <c r="AH186" s="182">
        <f t="shared" si="109"/>
        <v>8077.9409801870088</v>
      </c>
    </row>
    <row r="187" spans="1:35" s="20" customFormat="1">
      <c r="A187" s="20" t="s">
        <v>452</v>
      </c>
      <c r="B187" s="33"/>
      <c r="C187" s="334"/>
      <c r="D187" s="334">
        <f>D184</f>
        <v>-1.1821929393772734</v>
      </c>
      <c r="E187" s="334">
        <f t="shared" si="105"/>
        <v>-4.6296560748914999</v>
      </c>
      <c r="F187" s="334">
        <f t="shared" si="105"/>
        <v>-5.5655676675560244</v>
      </c>
      <c r="G187" s="334">
        <f t="shared" si="105"/>
        <v>-2.7431513150195315</v>
      </c>
      <c r="H187" s="404">
        <f t="shared" si="105"/>
        <v>-2.8453913150187873</v>
      </c>
      <c r="I187" s="19">
        <f t="shared" ref="I187:X187" si="110">H187+I184</f>
        <v>34.312736678862166</v>
      </c>
      <c r="J187" s="19">
        <f t="shared" si="110"/>
        <v>98.644482118203996</v>
      </c>
      <c r="K187" s="19">
        <f t="shared" si="110"/>
        <v>216.39470734560018</v>
      </c>
      <c r="L187" s="19">
        <f t="shared" si="110"/>
        <v>386.7061766765637</v>
      </c>
      <c r="M187" s="19">
        <f t="shared" si="110"/>
        <v>612.3412761731397</v>
      </c>
      <c r="N187" s="182">
        <f t="shared" si="110"/>
        <v>901.50748087276952</v>
      </c>
      <c r="O187" s="19">
        <f t="shared" si="110"/>
        <v>1181.224676471018</v>
      </c>
      <c r="P187" s="19">
        <f t="shared" si="110"/>
        <v>1460.2105401253484</v>
      </c>
      <c r="Q187" s="19">
        <f t="shared" si="110"/>
        <v>1745.2293448376486</v>
      </c>
      <c r="R187" s="19">
        <f t="shared" si="110"/>
        <v>2035.8719408566831</v>
      </c>
      <c r="S187" s="206">
        <f t="shared" si="110"/>
        <v>2332.3466414744444</v>
      </c>
      <c r="T187" s="19">
        <f t="shared" si="110"/>
        <v>2632.7409210119295</v>
      </c>
      <c r="U187" s="19">
        <f t="shared" si="110"/>
        <v>2937.9058013462309</v>
      </c>
      <c r="V187" s="19">
        <f t="shared" si="110"/>
        <v>3248.0250043736905</v>
      </c>
      <c r="W187" s="19">
        <f t="shared" si="110"/>
        <v>3563.5353759460841</v>
      </c>
      <c r="X187" s="182">
        <f t="shared" si="110"/>
        <v>3884.2769868144142</v>
      </c>
      <c r="Y187" s="206">
        <f t="shared" ref="Y187:AH187" si="111">X187+Y184</f>
        <v>4211.7086077303875</v>
      </c>
      <c r="Z187" s="206">
        <f t="shared" si="111"/>
        <v>4544.8786130148374</v>
      </c>
      <c r="AA187" s="206">
        <f t="shared" si="111"/>
        <v>4885.0680500084809</v>
      </c>
      <c r="AB187" s="206">
        <f t="shared" si="111"/>
        <v>5231.293917296518</v>
      </c>
      <c r="AC187" s="206">
        <f t="shared" si="111"/>
        <v>5584.2150393501524</v>
      </c>
      <c r="AD187" s="206">
        <f t="shared" si="111"/>
        <v>5926.9244193226959</v>
      </c>
      <c r="AE187" s="206">
        <f t="shared" si="111"/>
        <v>6256.5923685357502</v>
      </c>
      <c r="AF187" s="206">
        <f t="shared" si="111"/>
        <v>6588.6156586786765</v>
      </c>
      <c r="AG187" s="206">
        <f t="shared" si="111"/>
        <v>6926.9253068930984</v>
      </c>
      <c r="AH187" s="182">
        <f t="shared" si="111"/>
        <v>7270.1308237532694</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s="523"/>
      <c r="AD188" s="523"/>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719.00313000000006</v>
      </c>
      <c r="D194" s="331">
        <f t="shared" ref="D194:AH194" si="112">SUM(D195:D196)</f>
        <v>1048.78613</v>
      </c>
      <c r="E194" s="331">
        <f t="shared" si="112"/>
        <v>1140.4692428300521</v>
      </c>
      <c r="F194" s="331">
        <f t="shared" si="112"/>
        <v>1301.7290607598375</v>
      </c>
      <c r="G194" s="331">
        <f t="shared" si="112"/>
        <v>1531.7448827727858</v>
      </c>
      <c r="H194" s="402">
        <f t="shared" si="112"/>
        <v>1536.4949237229471</v>
      </c>
      <c r="I194" s="14">
        <f t="shared" si="112"/>
        <v>1643.9606179168097</v>
      </c>
      <c r="J194" s="14">
        <f t="shared" si="112"/>
        <v>1705.5033349533703</v>
      </c>
      <c r="K194" s="14">
        <f t="shared" si="112"/>
        <v>1705.6025644126769</v>
      </c>
      <c r="L194" s="14">
        <f t="shared" si="112"/>
        <v>1705.5613314266652</v>
      </c>
      <c r="M194" s="14">
        <f t="shared" si="112"/>
        <v>1705.4627858530953</v>
      </c>
      <c r="N194" s="187">
        <f t="shared" si="112"/>
        <v>1705.4363850999202</v>
      </c>
      <c r="O194" s="14">
        <f t="shared" si="112"/>
        <v>1705.4254180766179</v>
      </c>
      <c r="P194" s="14">
        <f t="shared" si="112"/>
        <v>1705.981418037421</v>
      </c>
      <c r="Q194" s="14">
        <f t="shared" si="112"/>
        <v>1705.6077469481961</v>
      </c>
      <c r="R194" s="14">
        <f t="shared" si="112"/>
        <v>1705.5789839504082</v>
      </c>
      <c r="S194" s="15">
        <f t="shared" si="112"/>
        <v>1707.2270538038072</v>
      </c>
      <c r="T194" s="14">
        <f t="shared" si="112"/>
        <v>1709.8023215141898</v>
      </c>
      <c r="U194" s="14">
        <f t="shared" si="112"/>
        <v>1712.2552925886598</v>
      </c>
      <c r="V194" s="14">
        <f t="shared" si="112"/>
        <v>1713.3915669245607</v>
      </c>
      <c r="W194" s="14">
        <f t="shared" si="112"/>
        <v>1713.8393829235911</v>
      </c>
      <c r="X194" s="187">
        <f t="shared" si="112"/>
        <v>1715.8884818664908</v>
      </c>
      <c r="Y194" s="158">
        <f t="shared" si="112"/>
        <v>1718.3759019058928</v>
      </c>
      <c r="Z194" s="158">
        <f t="shared" si="112"/>
        <v>1720.8340155612732</v>
      </c>
      <c r="AA194" s="158">
        <f t="shared" si="112"/>
        <v>1723.4440842926167</v>
      </c>
      <c r="AB194" s="158">
        <f t="shared" si="112"/>
        <v>1734.3685234713939</v>
      </c>
      <c r="AC194" s="158">
        <f t="shared" si="112"/>
        <v>1741.9407865415158</v>
      </c>
      <c r="AD194" s="158">
        <f t="shared" si="112"/>
        <v>1885.4167577027765</v>
      </c>
      <c r="AE194" s="158">
        <f t="shared" si="112"/>
        <v>2050.6604914144987</v>
      </c>
      <c r="AF194" s="158">
        <f t="shared" si="112"/>
        <v>2095.9402943045993</v>
      </c>
      <c r="AG194" s="158">
        <f t="shared" si="112"/>
        <v>2112.058176324766</v>
      </c>
      <c r="AH194" s="187">
        <f t="shared" si="112"/>
        <v>2140.282771400347</v>
      </c>
    </row>
    <row r="195" spans="1:34">
      <c r="A195" t="s">
        <v>389</v>
      </c>
      <c r="C195" s="330">
        <f>'Output - Jobs vs Yr (BAU)'!C51</f>
        <v>378.42270000000002</v>
      </c>
      <c r="D195" s="330">
        <f>'Output - Jobs vs Yr (BAU)'!D51</f>
        <v>551.99270000000001</v>
      </c>
      <c r="E195" s="330">
        <f>'Output - Jobs vs Yr (BAU)'!E51</f>
        <v>600.24696991055373</v>
      </c>
      <c r="F195" s="330">
        <f>'Output - Jobs vs Yr (BAU)'!F51</f>
        <v>685.12055829465135</v>
      </c>
      <c r="G195" s="330">
        <f>'Output - Jobs vs Yr (BAU)'!G51</f>
        <v>806.18151724883467</v>
      </c>
      <c r="H195" s="286">
        <f>'Output - Jobs vs Yr (BAU)'!H51</f>
        <v>808.68153880155103</v>
      </c>
      <c r="I195" s="118">
        <f>'Output - Jobs vs Yr (BAU)'!I51</f>
        <v>865.2424304825314</v>
      </c>
      <c r="J195" s="118">
        <f>'Output - Jobs vs Yr (BAU)'!J51</f>
        <v>897.63333418598438</v>
      </c>
      <c r="K195" s="118">
        <f>'Output - Jobs vs Yr (BAU)'!K51</f>
        <v>897.68556021719837</v>
      </c>
      <c r="L195" s="118">
        <f>'Output - Jobs vs Yr (BAU)'!L51</f>
        <v>897.66385864561323</v>
      </c>
      <c r="M195" s="118">
        <f>'Output - Jobs vs Yr (BAU)'!M51</f>
        <v>897.61199255426061</v>
      </c>
      <c r="N195" s="177">
        <f>'Output - Jobs vs Yr (BAU)'!N51</f>
        <v>897.59809742101061</v>
      </c>
      <c r="O195" s="118">
        <f>'Output - Jobs vs Yr (BAU)'!O51</f>
        <v>897.59232530348311</v>
      </c>
      <c r="P195" s="118">
        <f>'Output - Jobs vs Yr (BAU)'!P51</f>
        <v>897.88495686180045</v>
      </c>
      <c r="Q195" s="118">
        <f>'Output - Jobs vs Yr (BAU)'!Q51</f>
        <v>897.68828786747156</v>
      </c>
      <c r="R195" s="118">
        <f>'Output - Jobs vs Yr (BAU)'!R51</f>
        <v>897.67314944758334</v>
      </c>
      <c r="S195" s="118">
        <f>'Output - Jobs vs Yr (BAU)'!S51</f>
        <v>898.5405546335827</v>
      </c>
      <c r="T195" s="118">
        <f>'Output - Jobs vs Yr (BAU)'!T51</f>
        <v>899.89595869167874</v>
      </c>
      <c r="U195" s="118">
        <f>'Output - Jobs vs Yr (BAU)'!U51</f>
        <v>901.18699609929467</v>
      </c>
      <c r="V195" s="118">
        <f>'Output - Jobs vs Yr (BAU)'!V51</f>
        <v>901.78503522345306</v>
      </c>
      <c r="W195" s="118">
        <f>'Output - Jobs vs Yr (BAU)'!W51</f>
        <v>902.02072785452174</v>
      </c>
      <c r="X195" s="184">
        <f>'Output - Jobs vs Yr (BAU)'!X51</f>
        <v>903.09920098236353</v>
      </c>
      <c r="Y195" s="271">
        <f>'Output - Jobs vs Yr (BAU)'!Y51</f>
        <v>904.4083694241541</v>
      </c>
      <c r="Z195" s="271">
        <f>'Output - Jobs vs Yr (BAU)'!Z51</f>
        <v>905.70211345330165</v>
      </c>
      <c r="AA195" s="271">
        <f>'Output - Jobs vs Yr (BAU)'!AA51</f>
        <v>907.0758338382193</v>
      </c>
      <c r="AB195" s="271">
        <f>'Output - Jobs vs Yr (BAU)'!AB51</f>
        <v>912.82553866915464</v>
      </c>
      <c r="AC195" s="271">
        <f>'Output - Jobs vs Yr (BAU)'!AC51</f>
        <v>916.81094028500831</v>
      </c>
      <c r="AD195" s="271">
        <f>'Output - Jobs vs Yr (BAU)'!AD51</f>
        <v>992.32460931725075</v>
      </c>
      <c r="AE195" s="271">
        <f>'Output - Jobs vs Yr (BAU)'!AE51</f>
        <v>1079.294995481315</v>
      </c>
      <c r="AF195" s="271">
        <f>'Output - Jobs vs Yr (BAU)'!AF51</f>
        <v>1103.1264706866311</v>
      </c>
      <c r="AG195" s="271">
        <f>'Output - Jobs vs Yr (BAU)'!AG51</f>
        <v>1111.6095664867189</v>
      </c>
      <c r="AH195" s="184">
        <f>'Output - Jobs vs Yr (BAU)'!AH51</f>
        <v>1126.4646165264985</v>
      </c>
    </row>
    <row r="196" spans="1:34">
      <c r="A196" t="s">
        <v>390</v>
      </c>
      <c r="C196" s="330">
        <f>'Output - Jobs vs Yr (BAU)'!C69</f>
        <v>340.58043000000004</v>
      </c>
      <c r="D196" s="330">
        <f>'Output - Jobs vs Yr (BAU)'!D69</f>
        <v>496.79343</v>
      </c>
      <c r="E196" s="330">
        <f>'Output - Jobs vs Yr (BAU)'!E69</f>
        <v>540.22227291949832</v>
      </c>
      <c r="F196" s="330">
        <f>'Output - Jobs vs Yr (BAU)'!F69</f>
        <v>616.60850246518623</v>
      </c>
      <c r="G196" s="330">
        <f>'Output - Jobs vs Yr (BAU)'!G69</f>
        <v>725.56336552395123</v>
      </c>
      <c r="H196" s="286">
        <f>'Output - Jobs vs Yr (BAU)'!H69</f>
        <v>727.81338492139594</v>
      </c>
      <c r="I196" s="118">
        <f>'Output - Jobs vs Yr (BAU)'!I69</f>
        <v>778.71818743427832</v>
      </c>
      <c r="J196" s="118">
        <f>'Output - Jobs vs Yr (BAU)'!J69</f>
        <v>807.87000076738593</v>
      </c>
      <c r="K196" s="118">
        <f>'Output - Jobs vs Yr (BAU)'!K69</f>
        <v>807.91700419547851</v>
      </c>
      <c r="L196" s="118">
        <f>'Output - Jobs vs Yr (BAU)'!L69</f>
        <v>807.89747278105187</v>
      </c>
      <c r="M196" s="118">
        <f>'Output - Jobs vs Yr (BAU)'!M69</f>
        <v>807.85079329883456</v>
      </c>
      <c r="N196" s="177">
        <f>'Output - Jobs vs Yr (BAU)'!N69</f>
        <v>807.83828767890952</v>
      </c>
      <c r="O196" s="118">
        <f>'Output - Jobs vs Yr (BAU)'!O69</f>
        <v>807.83309277313481</v>
      </c>
      <c r="P196" s="118">
        <f>'Output - Jobs vs Yr (BAU)'!P69</f>
        <v>808.09646117562045</v>
      </c>
      <c r="Q196" s="118">
        <f>'Output - Jobs vs Yr (BAU)'!Q69</f>
        <v>807.91945908072455</v>
      </c>
      <c r="R196" s="118">
        <f>'Output - Jobs vs Yr (BAU)'!R69</f>
        <v>807.90583450282497</v>
      </c>
      <c r="S196" s="118">
        <f>'Output - Jobs vs Yr (BAU)'!S69</f>
        <v>808.68649917022447</v>
      </c>
      <c r="T196" s="118">
        <f>'Output - Jobs vs Yr (BAU)'!T69</f>
        <v>809.90636282251091</v>
      </c>
      <c r="U196" s="118">
        <f>'Output - Jobs vs Yr (BAU)'!U69</f>
        <v>811.06829648936525</v>
      </c>
      <c r="V196" s="118">
        <f>'Output - Jobs vs Yr (BAU)'!V69</f>
        <v>811.60653170110777</v>
      </c>
      <c r="W196" s="118">
        <f>'Output - Jobs vs Yr (BAU)'!W69</f>
        <v>811.81865506906945</v>
      </c>
      <c r="X196" s="184">
        <f>'Output - Jobs vs Yr (BAU)'!X69</f>
        <v>812.78928088412727</v>
      </c>
      <c r="Y196" s="271">
        <f>'Output - Jobs vs Yr (BAU)'!Y69</f>
        <v>813.96753248173866</v>
      </c>
      <c r="Z196" s="271">
        <f>'Output - Jobs vs Yr (BAU)'!Z69</f>
        <v>815.13190210797154</v>
      </c>
      <c r="AA196" s="271">
        <f>'Output - Jobs vs Yr (BAU)'!AA69</f>
        <v>816.36825045439741</v>
      </c>
      <c r="AB196" s="271">
        <f>'Output - Jobs vs Yr (BAU)'!AB69</f>
        <v>821.54298480223918</v>
      </c>
      <c r="AC196" s="271">
        <f>'Output - Jobs vs Yr (BAU)'!AC69</f>
        <v>825.12984625650745</v>
      </c>
      <c r="AD196" s="271">
        <f>'Output - Jobs vs Yr (BAU)'!AD69</f>
        <v>893.09214838552566</v>
      </c>
      <c r="AE196" s="271">
        <f>'Output - Jobs vs Yr (BAU)'!AE69</f>
        <v>971.36549593318352</v>
      </c>
      <c r="AF196" s="271">
        <f>'Output - Jobs vs Yr (BAU)'!AF69</f>
        <v>992.81382361796807</v>
      </c>
      <c r="AG196" s="271">
        <f>'Output - Jobs vs Yr (BAU)'!AG69</f>
        <v>1000.4486098380471</v>
      </c>
      <c r="AH196" s="184">
        <f>'Output - Jobs vs Yr (BAU)'!AH69</f>
        <v>1013.8181548738487</v>
      </c>
    </row>
    <row r="197" spans="1:34">
      <c r="A197" t="s">
        <v>391</v>
      </c>
      <c r="C197" s="331">
        <f>SUM(C198:C199)</f>
        <v>275.59214999999995</v>
      </c>
      <c r="D197" s="331">
        <f t="shared" ref="D197:AH197" si="113">SUM(D198:D199)</f>
        <v>291.83715000000001</v>
      </c>
      <c r="E197" s="331">
        <f t="shared" si="113"/>
        <v>304.29325739596931</v>
      </c>
      <c r="F197" s="331">
        <f t="shared" si="113"/>
        <v>286.02912903289683</v>
      </c>
      <c r="G197" s="331">
        <f t="shared" si="113"/>
        <v>235.23204007765827</v>
      </c>
      <c r="H197" s="402">
        <f t="shared" si="113"/>
        <v>240.23543512882893</v>
      </c>
      <c r="I197" s="14">
        <f t="shared" si="113"/>
        <v>244.19324718940891</v>
      </c>
      <c r="J197" s="14">
        <f t="shared" si="113"/>
        <v>248.50562448233165</v>
      </c>
      <c r="K197" s="14">
        <f t="shared" si="113"/>
        <v>251.53766265265895</v>
      </c>
      <c r="L197" s="14">
        <f t="shared" si="113"/>
        <v>250.45919879720293</v>
      </c>
      <c r="M197" s="14">
        <f t="shared" si="113"/>
        <v>250.45928133231922</v>
      </c>
      <c r="N197" s="187">
        <f t="shared" si="113"/>
        <v>250.45919879720293</v>
      </c>
      <c r="O197" s="14">
        <f t="shared" si="113"/>
        <v>251.75447490005527</v>
      </c>
      <c r="P197" s="14">
        <f t="shared" si="113"/>
        <v>251.75439236493892</v>
      </c>
      <c r="Q197" s="14">
        <f t="shared" si="113"/>
        <v>251.75436422796753</v>
      </c>
      <c r="R197" s="14">
        <f t="shared" si="113"/>
        <v>251.75436422796753</v>
      </c>
      <c r="S197" s="15">
        <f t="shared" si="113"/>
        <v>251.75436422796753</v>
      </c>
      <c r="T197" s="14">
        <f t="shared" si="113"/>
        <v>251.7543342151979</v>
      </c>
      <c r="U197" s="14">
        <f t="shared" si="113"/>
        <v>251.7543342151979</v>
      </c>
      <c r="V197" s="14">
        <f t="shared" si="113"/>
        <v>251.7543342151979</v>
      </c>
      <c r="W197" s="14">
        <f t="shared" si="113"/>
        <v>253.27501372073687</v>
      </c>
      <c r="X197" s="187">
        <f t="shared" si="113"/>
        <v>253.27501372073687</v>
      </c>
      <c r="Y197" s="158">
        <f t="shared" si="113"/>
        <v>253.60494409665421</v>
      </c>
      <c r="Z197" s="158">
        <f t="shared" si="113"/>
        <v>253.6049459724523</v>
      </c>
      <c r="AA197" s="158">
        <f t="shared" si="113"/>
        <v>253.6049459724523</v>
      </c>
      <c r="AB197" s="158">
        <f t="shared" si="113"/>
        <v>253.6049459724523</v>
      </c>
      <c r="AC197" s="158">
        <f t="shared" si="113"/>
        <v>254.09041002349008</v>
      </c>
      <c r="AD197" s="158">
        <f t="shared" si="113"/>
        <v>254.09049443440449</v>
      </c>
      <c r="AE197" s="158">
        <f t="shared" si="113"/>
        <v>254.0904362846635</v>
      </c>
      <c r="AF197" s="158">
        <f t="shared" si="113"/>
        <v>254.09034999795097</v>
      </c>
      <c r="AG197" s="158">
        <f t="shared" si="113"/>
        <v>255.26295078097121</v>
      </c>
      <c r="AH197" s="187">
        <f t="shared" si="113"/>
        <v>255.26292451979785</v>
      </c>
    </row>
    <row r="198" spans="1:34">
      <c r="A198" t="s">
        <v>393</v>
      </c>
      <c r="C198" s="330">
        <f>SUM('Output - Jobs vs Yr (BAU)'!C40:C43)</f>
        <v>145.04849999999999</v>
      </c>
      <c r="D198" s="330">
        <f>SUM('Output - Jobs vs Yr (BAU)'!D40:D43)</f>
        <v>153.5985</v>
      </c>
      <c r="E198" s="330">
        <f>SUM('Output - Jobs vs Yr (BAU)'!E40:E43)</f>
        <v>160.15434599787858</v>
      </c>
      <c r="F198" s="330">
        <f>SUM('Output - Jobs vs Yr (BAU)'!F40:F43)</f>
        <v>150.54164685941939</v>
      </c>
      <c r="G198" s="330">
        <f>SUM('Output - Jobs vs Yr (BAU)'!G40:G43)</f>
        <v>123.80633688297803</v>
      </c>
      <c r="H198" s="286">
        <f>SUM('Output - Jobs vs Yr (BAU)'!H40:H43)</f>
        <v>126.43970269938364</v>
      </c>
      <c r="I198" s="118">
        <f>SUM('Output - Jobs vs Yr (BAU)'!I40:I43)</f>
        <v>128.52276167863627</v>
      </c>
      <c r="J198" s="118">
        <f>SUM('Output - Jobs vs Yr (BAU)'!J40:J43)</f>
        <v>130.79243393806928</v>
      </c>
      <c r="K198" s="118">
        <f>SUM('Output - Jobs vs Yr (BAU)'!K40:K43)</f>
        <v>132.38824350139944</v>
      </c>
      <c r="L198" s="118">
        <f>SUM('Output - Jobs vs Yr (BAU)'!L40:L43)</f>
        <v>131.82063094589628</v>
      </c>
      <c r="M198" s="118">
        <f>SUM('Output - Jobs vs Yr (BAU)'!M40:M43)</f>
        <v>131.82067438543118</v>
      </c>
      <c r="N198" s="177">
        <f>SUM('Output - Jobs vs Yr (BAU)'!N40:N43)</f>
        <v>131.82063094589628</v>
      </c>
      <c r="O198" s="118">
        <f>SUM('Output - Jobs vs Yr (BAU)'!O40:O43)</f>
        <v>132.50235521055541</v>
      </c>
      <c r="P198" s="118">
        <f>SUM('Output - Jobs vs Yr (BAU)'!P40:P43)</f>
        <v>132.50231177102049</v>
      </c>
      <c r="Q198" s="118">
        <f>SUM('Output - Jobs vs Yr (BAU)'!Q40:Q43)</f>
        <v>132.50229696208817</v>
      </c>
      <c r="R198" s="118">
        <f>SUM('Output - Jobs vs Yr (BAU)'!R40:R43)</f>
        <v>132.50229696208817</v>
      </c>
      <c r="S198" s="118">
        <f>SUM('Output - Jobs vs Yr (BAU)'!S40:S43)</f>
        <v>132.50229696208817</v>
      </c>
      <c r="T198" s="118">
        <f>SUM('Output - Jobs vs Yr (BAU)'!T40:T43)</f>
        <v>132.50228116589363</v>
      </c>
      <c r="U198" s="118">
        <f>SUM('Output - Jobs vs Yr (BAU)'!U40:U43)</f>
        <v>132.50228116589363</v>
      </c>
      <c r="V198" s="118">
        <f>SUM('Output - Jobs vs Yr (BAU)'!V40:V43)</f>
        <v>132.50228116589363</v>
      </c>
      <c r="W198" s="118">
        <f>SUM('Output - Jobs vs Yr (BAU)'!W40:W43)</f>
        <v>133.30263880038783</v>
      </c>
      <c r="X198" s="184">
        <f>SUM('Output - Jobs vs Yr (BAU)'!X40:X43)</f>
        <v>133.30263880038783</v>
      </c>
      <c r="Y198" s="271">
        <f>SUM('Output - Jobs vs Yr (BAU)'!Y40:Y43)</f>
        <v>133.4762863666601</v>
      </c>
      <c r="Z198" s="271">
        <f>SUM('Output - Jobs vs Yr (BAU)'!Z40:Z43)</f>
        <v>133.47628735392226</v>
      </c>
      <c r="AA198" s="271">
        <f>SUM('Output - Jobs vs Yr (BAU)'!AA40:AA43)</f>
        <v>133.47628735392226</v>
      </c>
      <c r="AB198" s="271">
        <f>SUM('Output - Jobs vs Yr (BAU)'!AB40:AB43)</f>
        <v>133.47628735392226</v>
      </c>
      <c r="AC198" s="271">
        <f>SUM('Output - Jobs vs Yr (BAU)'!AC40:AC43)</f>
        <v>133.73179474920531</v>
      </c>
      <c r="AD198" s="271">
        <f>SUM('Output - Jobs vs Yr (BAU)'!AD40:AD43)</f>
        <v>133.73183917600235</v>
      </c>
      <c r="AE198" s="271">
        <f>SUM('Output - Jobs vs Yr (BAU)'!AE40:AE43)</f>
        <v>133.73180857087553</v>
      </c>
      <c r="AF198" s="271">
        <f>SUM('Output - Jobs vs Yr (BAU)'!AF40:AF43)</f>
        <v>133.7317631568163</v>
      </c>
      <c r="AG198" s="271">
        <f>SUM('Output - Jobs vs Yr (BAU)'!AG40:AG43)</f>
        <v>134.34892146366906</v>
      </c>
      <c r="AH198" s="184">
        <f>SUM('Output - Jobs vs Yr (BAU)'!AH40:AH43)</f>
        <v>134.34890764199886</v>
      </c>
    </row>
    <row r="199" spans="1:34">
      <c r="A199" t="s">
        <v>392</v>
      </c>
      <c r="C199" s="330">
        <f>SUM('Output - Jobs vs Yr (BAU)'!C58:C61)</f>
        <v>130.54364999999999</v>
      </c>
      <c r="D199" s="330">
        <f>SUM('Output - Jobs vs Yr (BAU)'!D58:D61)</f>
        <v>138.23865000000001</v>
      </c>
      <c r="E199" s="330">
        <f>SUM('Output - Jobs vs Yr (BAU)'!E58:E61)</f>
        <v>144.13891139809073</v>
      </c>
      <c r="F199" s="330">
        <f>SUM('Output - Jobs vs Yr (BAU)'!F58:F61)</f>
        <v>135.48748217347745</v>
      </c>
      <c r="G199" s="330">
        <f>SUM('Output - Jobs vs Yr (BAU)'!G58:G61)</f>
        <v>111.42570319468022</v>
      </c>
      <c r="H199" s="286">
        <f>SUM('Output - Jobs vs Yr (BAU)'!H58:H61)</f>
        <v>113.79573242944528</v>
      </c>
      <c r="I199" s="118">
        <f>SUM('Output - Jobs vs Yr (BAU)'!I58:I61)</f>
        <v>115.67048551077265</v>
      </c>
      <c r="J199" s="118">
        <f>SUM('Output - Jobs vs Yr (BAU)'!J58:J61)</f>
        <v>117.71319054426236</v>
      </c>
      <c r="K199" s="118">
        <f>SUM('Output - Jobs vs Yr (BAU)'!K58:K61)</f>
        <v>119.14941915125951</v>
      </c>
      <c r="L199" s="118">
        <f>SUM('Output - Jobs vs Yr (BAU)'!L58:L61)</f>
        <v>118.63856785130666</v>
      </c>
      <c r="M199" s="118">
        <f>SUM('Output - Jobs vs Yr (BAU)'!M58:M61)</f>
        <v>118.63860694688806</v>
      </c>
      <c r="N199" s="177">
        <f>SUM('Output - Jobs vs Yr (BAU)'!N58:N61)</f>
        <v>118.63856785130666</v>
      </c>
      <c r="O199" s="118">
        <f>SUM('Output - Jobs vs Yr (BAU)'!O58:O61)</f>
        <v>119.25211968949986</v>
      </c>
      <c r="P199" s="118">
        <f>SUM('Output - Jobs vs Yr (BAU)'!P58:P61)</f>
        <v>119.25208059391844</v>
      </c>
      <c r="Q199" s="118">
        <f>SUM('Output - Jobs vs Yr (BAU)'!Q58:Q61)</f>
        <v>119.25206726587935</v>
      </c>
      <c r="R199" s="118">
        <f>SUM('Output - Jobs vs Yr (BAU)'!R58:R61)</f>
        <v>119.25206726587935</v>
      </c>
      <c r="S199" s="118">
        <f>SUM('Output - Jobs vs Yr (BAU)'!S58:S61)</f>
        <v>119.25206726587935</v>
      </c>
      <c r="T199" s="118">
        <f>SUM('Output - Jobs vs Yr (BAU)'!T58:T61)</f>
        <v>119.25205304930428</v>
      </c>
      <c r="U199" s="118">
        <f>SUM('Output - Jobs vs Yr (BAU)'!U58:U61)</f>
        <v>119.25205304930428</v>
      </c>
      <c r="V199" s="118">
        <f>SUM('Output - Jobs vs Yr (BAU)'!V58:V61)</f>
        <v>119.25205304930428</v>
      </c>
      <c r="W199" s="118">
        <f>SUM('Output - Jobs vs Yr (BAU)'!W58:W61)</f>
        <v>119.97237492034904</v>
      </c>
      <c r="X199" s="184">
        <f>SUM('Output - Jobs vs Yr (BAU)'!X58:X61)</f>
        <v>119.97237492034904</v>
      </c>
      <c r="Y199" s="271">
        <f>SUM('Output - Jobs vs Yr (BAU)'!Y58:Y61)</f>
        <v>120.1286577299941</v>
      </c>
      <c r="Z199" s="271">
        <f>SUM('Output - Jobs vs Yr (BAU)'!Z58:Z61)</f>
        <v>120.12865861853004</v>
      </c>
      <c r="AA199" s="271">
        <f>SUM('Output - Jobs vs Yr (BAU)'!AA58:AA61)</f>
        <v>120.12865861853004</v>
      </c>
      <c r="AB199" s="271">
        <f>SUM('Output - Jobs vs Yr (BAU)'!AB58:AB61)</f>
        <v>120.12865861853004</v>
      </c>
      <c r="AC199" s="271">
        <f>SUM('Output - Jobs vs Yr (BAU)'!AC58:AC61)</f>
        <v>120.35861527428477</v>
      </c>
      <c r="AD199" s="271">
        <f>SUM('Output - Jobs vs Yr (BAU)'!AD58:AD61)</f>
        <v>120.35865525840212</v>
      </c>
      <c r="AE199" s="271">
        <f>SUM('Output - Jobs vs Yr (BAU)'!AE58:AE61)</f>
        <v>120.35862771378798</v>
      </c>
      <c r="AF199" s="271">
        <f>SUM('Output - Jobs vs Yr (BAU)'!AF58:AF61)</f>
        <v>120.35858684113467</v>
      </c>
      <c r="AG199" s="271">
        <f>SUM('Output - Jobs vs Yr (BAU)'!AG58:AG61)</f>
        <v>120.91402931730215</v>
      </c>
      <c r="AH199" s="184">
        <f>SUM('Output - Jobs vs Yr (BAU)'!AH58:AH61)</f>
        <v>120.91401687779899</v>
      </c>
    </row>
    <row r="200" spans="1:34">
      <c r="A200" t="s">
        <v>394</v>
      </c>
      <c r="C200" s="331">
        <f>SUM(C201:C202)</f>
        <v>8870.3780000000006</v>
      </c>
      <c r="D200" s="331">
        <f t="shared" ref="D200:AH200" si="114">SUM(D201:D202)</f>
        <v>9080.2139999999999</v>
      </c>
      <c r="E200" s="331">
        <f t="shared" si="114"/>
        <v>8882.3461881236344</v>
      </c>
      <c r="F200" s="331">
        <f t="shared" si="114"/>
        <v>8917.0267618556591</v>
      </c>
      <c r="G200" s="331">
        <f t="shared" si="114"/>
        <v>8279.1405344864907</v>
      </c>
      <c r="H200" s="402">
        <f t="shared" si="114"/>
        <v>8593.1103232667901</v>
      </c>
      <c r="I200" s="14">
        <f t="shared" si="114"/>
        <v>9274.8543638609026</v>
      </c>
      <c r="J200" s="14">
        <f t="shared" si="114"/>
        <v>9225.2841963908068</v>
      </c>
      <c r="K200" s="14">
        <f t="shared" si="114"/>
        <v>9499.6448891913496</v>
      </c>
      <c r="L200" s="14">
        <f t="shared" si="114"/>
        <v>9565.613406346265</v>
      </c>
      <c r="M200" s="14">
        <f t="shared" si="114"/>
        <v>9549.5122402642846</v>
      </c>
      <c r="N200" s="187">
        <f t="shared" si="114"/>
        <v>9558.7014451364012</v>
      </c>
      <c r="O200" s="14">
        <f t="shared" si="114"/>
        <v>9288.1122034767795</v>
      </c>
      <c r="P200" s="14">
        <f t="shared" si="114"/>
        <v>9177.7261513825979</v>
      </c>
      <c r="Q200" s="14">
        <f t="shared" si="114"/>
        <v>9186.8273885191793</v>
      </c>
      <c r="R200" s="14">
        <f t="shared" si="114"/>
        <v>9188.4117407098256</v>
      </c>
      <c r="S200" s="15">
        <f t="shared" si="114"/>
        <v>9196.5138254378398</v>
      </c>
      <c r="T200" s="14">
        <f t="shared" si="114"/>
        <v>9172.4661432715875</v>
      </c>
      <c r="U200" s="14">
        <f t="shared" si="114"/>
        <v>9162.2699815128399</v>
      </c>
      <c r="V200" s="14">
        <f t="shared" si="114"/>
        <v>9151.5394477659192</v>
      </c>
      <c r="W200" s="14">
        <f t="shared" si="114"/>
        <v>9148.0708649584976</v>
      </c>
      <c r="X200" s="187">
        <f t="shared" si="114"/>
        <v>9142.3952250320435</v>
      </c>
      <c r="Y200" s="158">
        <f t="shared" si="114"/>
        <v>9131.2123297443904</v>
      </c>
      <c r="Z200" s="158">
        <f t="shared" si="114"/>
        <v>9102.5837408895823</v>
      </c>
      <c r="AA200" s="158">
        <f t="shared" si="114"/>
        <v>9093.9206636260642</v>
      </c>
      <c r="AB200" s="158">
        <f t="shared" si="114"/>
        <v>9084.8848997163259</v>
      </c>
      <c r="AC200" s="158">
        <f t="shared" si="114"/>
        <v>9078.5795947881325</v>
      </c>
      <c r="AD200" s="158">
        <f t="shared" si="114"/>
        <v>9072.4718206102443</v>
      </c>
      <c r="AE200" s="158">
        <f t="shared" si="114"/>
        <v>9060.9758850372746</v>
      </c>
      <c r="AF200" s="158">
        <f t="shared" si="114"/>
        <v>9052.4669485802333</v>
      </c>
      <c r="AG200" s="158">
        <f t="shared" si="114"/>
        <v>9047.8586766841017</v>
      </c>
      <c r="AH200" s="187">
        <f t="shared" si="114"/>
        <v>9041.4807819362723</v>
      </c>
    </row>
    <row r="201" spans="1:34">
      <c r="A201" t="s">
        <v>395</v>
      </c>
      <c r="C201" s="330">
        <f>SUM('Output - Jobs vs Yr (BAU)'!C53:C54)</f>
        <v>4668.62</v>
      </c>
      <c r="D201" s="330">
        <f>SUM('Output - Jobs vs Yr (BAU)'!D53:D54)</f>
        <v>4779.0599999999995</v>
      </c>
      <c r="E201" s="330">
        <f>SUM('Output - Jobs vs Yr (BAU)'!E53:E54)</f>
        <v>4674.91904638086</v>
      </c>
      <c r="F201" s="330">
        <f>SUM('Output - Jobs vs Yr (BAU)'!F53:F54)</f>
        <v>4693.1719799240309</v>
      </c>
      <c r="G201" s="330">
        <f>SUM('Output - Jobs vs Yr (BAU)'!G53:G54)</f>
        <v>4357.4423865718372</v>
      </c>
      <c r="H201" s="286">
        <f>SUM('Output - Jobs vs Yr (BAU)'!H53:H54)</f>
        <v>4522.6896438246258</v>
      </c>
      <c r="I201" s="118">
        <f>SUM('Output - Jobs vs Yr (BAU)'!I53:I54)</f>
        <v>4881.5022967688965</v>
      </c>
      <c r="J201" s="118">
        <f>SUM('Output - Jobs vs Yr (BAU)'!J53:J54)</f>
        <v>4855.4127349425289</v>
      </c>
      <c r="K201" s="118">
        <f>SUM('Output - Jobs vs Yr (BAU)'!K53:K54)</f>
        <v>4999.813099574395</v>
      </c>
      <c r="L201" s="118">
        <f>SUM('Output - Jobs vs Yr (BAU)'!L53:L54)</f>
        <v>5034.533371761192</v>
      </c>
      <c r="M201" s="118">
        <f>SUM('Output - Jobs vs Yr (BAU)'!M53:M54)</f>
        <v>5026.0590738233077</v>
      </c>
      <c r="N201" s="177">
        <f>SUM('Output - Jobs vs Yr (BAU)'!N53:N54)</f>
        <v>5030.8954974402104</v>
      </c>
      <c r="O201" s="118">
        <f>SUM('Output - Jobs vs Yr (BAU)'!O53:O54)</f>
        <v>4888.4801070930416</v>
      </c>
      <c r="P201" s="118">
        <f>SUM('Output - Jobs vs Yr (BAU)'!P53:P54)</f>
        <v>4830.3821849382102</v>
      </c>
      <c r="Q201" s="118">
        <f>SUM('Output - Jobs vs Yr (BAU)'!Q53:Q54)</f>
        <v>4835.1723097469367</v>
      </c>
      <c r="R201" s="118">
        <f>SUM('Output - Jobs vs Yr (BAU)'!R53:R54)</f>
        <v>4836.0061793209607</v>
      </c>
      <c r="S201" s="118">
        <f>SUM('Output - Jobs vs Yr (BAU)'!S53:S54)</f>
        <v>4840.2704344409676</v>
      </c>
      <c r="T201" s="118">
        <f>SUM('Output - Jobs vs Yr (BAU)'!T53:T54)</f>
        <v>4827.6137596166245</v>
      </c>
      <c r="U201" s="118">
        <f>SUM('Output - Jobs vs Yr (BAU)'!U53:U54)</f>
        <v>4822.2473586909691</v>
      </c>
      <c r="V201" s="118">
        <f>SUM('Output - Jobs vs Yr (BAU)'!V53:V54)</f>
        <v>4816.5997093504839</v>
      </c>
      <c r="W201" s="118">
        <f>SUM('Output - Jobs vs Yr (BAU)'!W53:W54)</f>
        <v>4814.7741394518407</v>
      </c>
      <c r="X201" s="184">
        <f>SUM('Output - Jobs vs Yr (BAU)'!X53:X54)</f>
        <v>4811.7869605431806</v>
      </c>
      <c r="Y201" s="271">
        <f>SUM('Output - Jobs vs Yr (BAU)'!Y53:Y54)</f>
        <v>4805.9012261812577</v>
      </c>
      <c r="Z201" s="271">
        <f>SUM('Output - Jobs vs Yr (BAU)'!Z53:Z54)</f>
        <v>4790.8335478366216</v>
      </c>
      <c r="AA201" s="271">
        <f>SUM('Output - Jobs vs Yr (BAU)'!AA53:AA54)</f>
        <v>4786.2740334874015</v>
      </c>
      <c r="AB201" s="271">
        <f>SUM('Output - Jobs vs Yr (BAU)'!AB53:AB54)</f>
        <v>4781.5183682717507</v>
      </c>
      <c r="AC201" s="271">
        <f>SUM('Output - Jobs vs Yr (BAU)'!AC53:AC54)</f>
        <v>4778.1997867305963</v>
      </c>
      <c r="AD201" s="271">
        <f>SUM('Output - Jobs vs Yr (BAU)'!AD53:AD54)</f>
        <v>4774.9851687422333</v>
      </c>
      <c r="AE201" s="271">
        <f>SUM('Output - Jobs vs Yr (BAU)'!AE53:AE54)</f>
        <v>4768.9346763354079</v>
      </c>
      <c r="AF201" s="271">
        <f>SUM('Output - Jobs vs Yr (BAU)'!AF53:AF54)</f>
        <v>4764.4562887264383</v>
      </c>
      <c r="AG201" s="271">
        <f>SUM('Output - Jobs vs Yr (BAU)'!AG53:AG54)</f>
        <v>4762.0308824653166</v>
      </c>
      <c r="AH201" s="184">
        <f>SUM('Output - Jobs vs Yr (BAU)'!AH53:AH54)</f>
        <v>4758.6740957559323</v>
      </c>
    </row>
    <row r="202" spans="1:34">
      <c r="A202" t="s">
        <v>396</v>
      </c>
      <c r="C202" s="330">
        <f>SUM('Output - Jobs vs Yr (BAU)'!C71:C72)</f>
        <v>4201.7579999999998</v>
      </c>
      <c r="D202" s="330">
        <f>SUM('Output - Jobs vs Yr (BAU)'!D71:D72)</f>
        <v>4301.1539999999995</v>
      </c>
      <c r="E202" s="330">
        <f>SUM('Output - Jobs vs Yr (BAU)'!E71:E72)</f>
        <v>4207.4271417427744</v>
      </c>
      <c r="F202" s="330">
        <f>SUM('Output - Jobs vs Yr (BAU)'!F71:F72)</f>
        <v>4223.8547819316282</v>
      </c>
      <c r="G202" s="330">
        <f>SUM('Output - Jobs vs Yr (BAU)'!G71:G72)</f>
        <v>3921.6981479146534</v>
      </c>
      <c r="H202" s="286">
        <f>SUM('Output - Jobs vs Yr (BAU)'!H71:H72)</f>
        <v>4070.4206794421639</v>
      </c>
      <c r="I202" s="118">
        <f>SUM('Output - Jobs vs Yr (BAU)'!I71:I72)</f>
        <v>4393.3520670920061</v>
      </c>
      <c r="J202" s="118">
        <f>SUM('Output - Jobs vs Yr (BAU)'!J71:J72)</f>
        <v>4369.8714614482769</v>
      </c>
      <c r="K202" s="118">
        <f>SUM('Output - Jobs vs Yr (BAU)'!K71:K72)</f>
        <v>4499.8317896169556</v>
      </c>
      <c r="L202" s="118">
        <f>SUM('Output - Jobs vs Yr (BAU)'!L71:L72)</f>
        <v>4531.080034585073</v>
      </c>
      <c r="M202" s="118">
        <f>SUM('Output - Jobs vs Yr (BAU)'!M71:M72)</f>
        <v>4523.4531664409778</v>
      </c>
      <c r="N202" s="177">
        <f>SUM('Output - Jobs vs Yr (BAU)'!N71:N72)</f>
        <v>4527.8059476961898</v>
      </c>
      <c r="O202" s="118">
        <f>SUM('Output - Jobs vs Yr (BAU)'!O71:O72)</f>
        <v>4399.632096383737</v>
      </c>
      <c r="P202" s="118">
        <f>SUM('Output - Jobs vs Yr (BAU)'!P71:P72)</f>
        <v>4347.3439664443886</v>
      </c>
      <c r="Q202" s="118">
        <f>SUM('Output - Jobs vs Yr (BAU)'!Q71:Q72)</f>
        <v>4351.6550787722426</v>
      </c>
      <c r="R202" s="118">
        <f>SUM('Output - Jobs vs Yr (BAU)'!R71:R72)</f>
        <v>4352.405561388865</v>
      </c>
      <c r="S202" s="118">
        <f>SUM('Output - Jobs vs Yr (BAU)'!S71:S72)</f>
        <v>4356.2433909968713</v>
      </c>
      <c r="T202" s="118">
        <f>SUM('Output - Jobs vs Yr (BAU)'!T71:T72)</f>
        <v>4344.8523836549621</v>
      </c>
      <c r="U202" s="118">
        <f>SUM('Output - Jobs vs Yr (BAU)'!U71:U72)</f>
        <v>4340.0226228218717</v>
      </c>
      <c r="V202" s="118">
        <f>SUM('Output - Jobs vs Yr (BAU)'!V71:V72)</f>
        <v>4334.9397384154354</v>
      </c>
      <c r="W202" s="118">
        <f>SUM('Output - Jobs vs Yr (BAU)'!W71:W72)</f>
        <v>4333.2967255066569</v>
      </c>
      <c r="X202" s="184">
        <f>SUM('Output - Jobs vs Yr (BAU)'!X71:X72)</f>
        <v>4330.6082644888629</v>
      </c>
      <c r="Y202" s="271">
        <f>SUM('Output - Jobs vs Yr (BAU)'!Y71:Y72)</f>
        <v>4325.3111035631318</v>
      </c>
      <c r="Z202" s="271">
        <f>SUM('Output - Jobs vs Yr (BAU)'!Z71:Z72)</f>
        <v>4311.7501930529597</v>
      </c>
      <c r="AA202" s="271">
        <f>SUM('Output - Jobs vs Yr (BAU)'!AA71:AA72)</f>
        <v>4307.6466301386617</v>
      </c>
      <c r="AB202" s="271">
        <f>SUM('Output - Jobs vs Yr (BAU)'!AB71:AB72)</f>
        <v>4303.3665314445752</v>
      </c>
      <c r="AC202" s="271">
        <f>SUM('Output - Jobs vs Yr (BAU)'!AC71:AC72)</f>
        <v>4300.3798080575361</v>
      </c>
      <c r="AD202" s="271">
        <f>SUM('Output - Jobs vs Yr (BAU)'!AD71:AD72)</f>
        <v>4297.4866518680101</v>
      </c>
      <c r="AE202" s="271">
        <f>SUM('Output - Jobs vs Yr (BAU)'!AE71:AE72)</f>
        <v>4292.0412087018676</v>
      </c>
      <c r="AF202" s="271">
        <f>SUM('Output - Jobs vs Yr (BAU)'!AF71:AF72)</f>
        <v>4288.010659853795</v>
      </c>
      <c r="AG202" s="271">
        <f>SUM('Output - Jobs vs Yr (BAU)'!AG71:AG72)</f>
        <v>4285.8277942187851</v>
      </c>
      <c r="AH202" s="184">
        <f>SUM('Output - Jobs vs Yr (BAU)'!AH71:AH72)</f>
        <v>4282.80668618034</v>
      </c>
    </row>
    <row r="203" spans="1:34">
      <c r="A203" s="1" t="s">
        <v>425</v>
      </c>
      <c r="C203" s="331">
        <f>SUM(C191,C194,C197,C200)</f>
        <v>9864.9732800000002</v>
      </c>
      <c r="D203" s="331">
        <f t="shared" ref="D203:AH203" si="115">SUM(D191,D194,D197,D200)</f>
        <v>10420.83728</v>
      </c>
      <c r="E203" s="331">
        <f t="shared" si="115"/>
        <v>10327.108688349655</v>
      </c>
      <c r="F203" s="331">
        <f t="shared" si="115"/>
        <v>10504.784951648393</v>
      </c>
      <c r="G203" s="331">
        <f t="shared" si="115"/>
        <v>10046.117457336935</v>
      </c>
      <c r="H203" s="402">
        <f t="shared" si="115"/>
        <v>10369.840682118565</v>
      </c>
      <c r="I203" s="14">
        <f t="shared" si="115"/>
        <v>11163.008228967121</v>
      </c>
      <c r="J203" s="14">
        <f t="shared" si="115"/>
        <v>11179.293155826508</v>
      </c>
      <c r="K203" s="14">
        <f t="shared" si="115"/>
        <v>11456.785116256686</v>
      </c>
      <c r="L203" s="14">
        <f t="shared" si="115"/>
        <v>11521.633936570133</v>
      </c>
      <c r="M203" s="132">
        <f t="shared" si="115"/>
        <v>11505.434307449699</v>
      </c>
      <c r="N203" s="193">
        <f t="shared" si="115"/>
        <v>11514.597029033524</v>
      </c>
      <c r="O203" s="14">
        <f t="shared" si="115"/>
        <v>11245.292096453453</v>
      </c>
      <c r="P203" s="14">
        <f t="shared" si="115"/>
        <v>11135.461961784958</v>
      </c>
      <c r="Q203" s="14">
        <f t="shared" si="115"/>
        <v>11144.189499695343</v>
      </c>
      <c r="R203" s="14">
        <f t="shared" si="115"/>
        <v>11145.745088888201</v>
      </c>
      <c r="S203" s="14">
        <f t="shared" si="115"/>
        <v>11155.495243469615</v>
      </c>
      <c r="T203" s="14">
        <f t="shared" si="115"/>
        <v>11134.022799000975</v>
      </c>
      <c r="U203" s="14">
        <f t="shared" si="115"/>
        <v>11126.279608316698</v>
      </c>
      <c r="V203" s="14">
        <f t="shared" si="115"/>
        <v>11116.685348905678</v>
      </c>
      <c r="W203" s="14">
        <f t="shared" si="115"/>
        <v>11115.185261602826</v>
      </c>
      <c r="X203" s="187">
        <f t="shared" si="115"/>
        <v>11111.558720619272</v>
      </c>
      <c r="Y203" s="158">
        <f t="shared" si="115"/>
        <v>11103.193175746937</v>
      </c>
      <c r="Z203" s="158">
        <f t="shared" si="115"/>
        <v>11077.022702423308</v>
      </c>
      <c r="AA203" s="158">
        <f t="shared" si="115"/>
        <v>11070.969693891133</v>
      </c>
      <c r="AB203" s="158">
        <f t="shared" si="115"/>
        <v>11072.858369160173</v>
      </c>
      <c r="AC203" s="158">
        <f t="shared" si="115"/>
        <v>11074.610791353138</v>
      </c>
      <c r="AD203" s="158">
        <f t="shared" si="115"/>
        <v>11211.979072747425</v>
      </c>
      <c r="AE203" s="158">
        <f t="shared" si="115"/>
        <v>11365.726812736437</v>
      </c>
      <c r="AF203" s="158">
        <f t="shared" si="115"/>
        <v>11402.497592882784</v>
      </c>
      <c r="AG203" s="158">
        <f t="shared" si="115"/>
        <v>11415.179803789839</v>
      </c>
      <c r="AH203" s="187">
        <f t="shared" si="115"/>
        <v>11437.026477856416</v>
      </c>
    </row>
    <row r="204" spans="1:34">
      <c r="A204" s="1" t="s">
        <v>448</v>
      </c>
      <c r="C204" s="331"/>
      <c r="D204" s="331">
        <f>D194+D197</f>
        <v>1340.62328</v>
      </c>
      <c r="E204" s="331">
        <f t="shared" ref="E204:AH204" si="116">E194+E197</f>
        <v>1444.7625002260213</v>
      </c>
      <c r="F204" s="331">
        <f t="shared" si="116"/>
        <v>1587.7581897927344</v>
      </c>
      <c r="G204" s="331">
        <f t="shared" si="116"/>
        <v>1766.976922850444</v>
      </c>
      <c r="H204" s="402">
        <f t="shared" si="116"/>
        <v>1776.7303588517759</v>
      </c>
      <c r="I204" s="14">
        <f t="shared" si="116"/>
        <v>1888.1538651062187</v>
      </c>
      <c r="J204" s="14">
        <f t="shared" si="116"/>
        <v>1954.0089594357019</v>
      </c>
      <c r="K204" s="14">
        <f t="shared" si="116"/>
        <v>1957.1402270653359</v>
      </c>
      <c r="L204" s="14">
        <f t="shared" si="116"/>
        <v>1956.0205302238683</v>
      </c>
      <c r="M204" s="14">
        <f t="shared" si="116"/>
        <v>1955.9220671854146</v>
      </c>
      <c r="N204" s="187">
        <f t="shared" si="116"/>
        <v>1955.8955838971233</v>
      </c>
      <c r="O204" s="14">
        <f t="shared" si="116"/>
        <v>1957.1798929766733</v>
      </c>
      <c r="P204" s="14">
        <f t="shared" si="116"/>
        <v>1957.7358104023599</v>
      </c>
      <c r="Q204" s="14">
        <f t="shared" si="116"/>
        <v>1957.3621111761636</v>
      </c>
      <c r="R204" s="14">
        <f t="shared" si="116"/>
        <v>1957.3333481783757</v>
      </c>
      <c r="S204" s="14">
        <f t="shared" si="116"/>
        <v>1958.9814180317746</v>
      </c>
      <c r="T204" s="14">
        <f t="shared" si="116"/>
        <v>1961.5566557293878</v>
      </c>
      <c r="U204" s="14">
        <f t="shared" si="116"/>
        <v>1964.0096268038578</v>
      </c>
      <c r="V204" s="14">
        <f t="shared" si="116"/>
        <v>1965.1459011397587</v>
      </c>
      <c r="W204" s="14">
        <f t="shared" si="116"/>
        <v>1967.1143966443278</v>
      </c>
      <c r="X204" s="187">
        <f t="shared" si="116"/>
        <v>1969.1634955872278</v>
      </c>
      <c r="Y204" s="158">
        <f t="shared" si="116"/>
        <v>1971.980846002547</v>
      </c>
      <c r="Z204" s="158">
        <f t="shared" si="116"/>
        <v>1974.4389615337254</v>
      </c>
      <c r="AA204" s="158">
        <f t="shared" si="116"/>
        <v>1977.049030265069</v>
      </c>
      <c r="AB204" s="158">
        <f t="shared" si="116"/>
        <v>1987.9734694438462</v>
      </c>
      <c r="AC204" s="158">
        <f t="shared" si="116"/>
        <v>1996.0311965650058</v>
      </c>
      <c r="AD204" s="158">
        <f t="shared" si="116"/>
        <v>2139.5072521371812</v>
      </c>
      <c r="AE204" s="158">
        <f t="shared" si="116"/>
        <v>2304.7509276991623</v>
      </c>
      <c r="AF204" s="158">
        <f t="shared" si="116"/>
        <v>2350.0306443025502</v>
      </c>
      <c r="AG204" s="158">
        <f t="shared" si="116"/>
        <v>2367.3211271057371</v>
      </c>
      <c r="AH204" s="187">
        <f t="shared" si="116"/>
        <v>2395.5456959201447</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1048.78613</v>
      </c>
      <c r="E206" s="331">
        <f>D206+E194</f>
        <v>2189.2553728300518</v>
      </c>
      <c r="F206" s="331">
        <f>E206+F194</f>
        <v>3490.9844335898892</v>
      </c>
      <c r="G206" s="331">
        <f>F206+G194</f>
        <v>5022.7293163626746</v>
      </c>
      <c r="H206" s="402">
        <f t="shared" ref="H206:X206" si="117">G206+H194</f>
        <v>6559.2242400856212</v>
      </c>
      <c r="I206" s="14">
        <f t="shared" si="117"/>
        <v>8203.1848580024307</v>
      </c>
      <c r="J206" s="14">
        <f t="shared" si="117"/>
        <v>9908.6881929558003</v>
      </c>
      <c r="K206" s="14">
        <f t="shared" si="117"/>
        <v>11614.290757368477</v>
      </c>
      <c r="L206" s="14">
        <f t="shared" si="117"/>
        <v>13319.852088795142</v>
      </c>
      <c r="M206" s="14">
        <f t="shared" si="117"/>
        <v>15025.314874648237</v>
      </c>
      <c r="N206" s="187">
        <f t="shared" si="117"/>
        <v>16730.751259748158</v>
      </c>
      <c r="O206" s="14">
        <f t="shared" si="117"/>
        <v>18436.176677824777</v>
      </c>
      <c r="P206" s="14">
        <f t="shared" si="117"/>
        <v>20142.158095862196</v>
      </c>
      <c r="Q206" s="14">
        <f t="shared" si="117"/>
        <v>21847.765842810393</v>
      </c>
      <c r="R206" s="14">
        <f t="shared" si="117"/>
        <v>23553.3448267608</v>
      </c>
      <c r="S206" s="14">
        <f t="shared" si="117"/>
        <v>25260.571880564607</v>
      </c>
      <c r="T206" s="14">
        <f t="shared" si="117"/>
        <v>26970.374202078798</v>
      </c>
      <c r="U206" s="14">
        <f t="shared" si="117"/>
        <v>28682.629494667457</v>
      </c>
      <c r="V206" s="14">
        <f t="shared" si="117"/>
        <v>30396.021061592019</v>
      </c>
      <c r="W206" s="14">
        <f t="shared" si="117"/>
        <v>32109.860444515609</v>
      </c>
      <c r="X206" s="187">
        <f t="shared" si="117"/>
        <v>33825.748926382097</v>
      </c>
      <c r="Y206" s="158">
        <f t="shared" ref="Y206:AH206" si="118">X206+Y194</f>
        <v>35544.12482828799</v>
      </c>
      <c r="Z206" s="158">
        <f t="shared" si="118"/>
        <v>37264.958843849265</v>
      </c>
      <c r="AA206" s="158">
        <f t="shared" si="118"/>
        <v>38988.402928141884</v>
      </c>
      <c r="AB206" s="158">
        <f t="shared" si="118"/>
        <v>40722.771451613276</v>
      </c>
      <c r="AC206" s="158">
        <f t="shared" si="118"/>
        <v>42464.712238154789</v>
      </c>
      <c r="AD206" s="158">
        <f t="shared" si="118"/>
        <v>44350.128995857565</v>
      </c>
      <c r="AE206" s="158">
        <f t="shared" si="118"/>
        <v>46400.789487272064</v>
      </c>
      <c r="AF206" s="158">
        <f t="shared" si="118"/>
        <v>48496.729781576665</v>
      </c>
      <c r="AG206" s="158">
        <f t="shared" si="118"/>
        <v>50608.787957901433</v>
      </c>
      <c r="AH206" s="187">
        <f t="shared" si="118"/>
        <v>52749.070729301777</v>
      </c>
    </row>
    <row r="207" spans="1:34">
      <c r="A207" s="1" t="s">
        <v>456</v>
      </c>
      <c r="C207" s="331"/>
      <c r="D207" s="331">
        <f>D200</f>
        <v>9080.2139999999999</v>
      </c>
      <c r="E207" s="331">
        <f>D207+E200</f>
        <v>17962.560188123636</v>
      </c>
      <c r="F207" s="331">
        <f>E207+F200</f>
        <v>26879.586949979297</v>
      </c>
      <c r="G207" s="331">
        <f t="shared" ref="G207:X207" si="119">F207+G200</f>
        <v>35158.727484465788</v>
      </c>
      <c r="H207" s="402">
        <f t="shared" si="119"/>
        <v>43751.837807732576</v>
      </c>
      <c r="I207" s="14">
        <f t="shared" si="119"/>
        <v>53026.69217159348</v>
      </c>
      <c r="J207" s="14">
        <f t="shared" si="119"/>
        <v>62251.976367984287</v>
      </c>
      <c r="K207" s="14">
        <f t="shared" si="119"/>
        <v>71751.621257175633</v>
      </c>
      <c r="L207" s="14">
        <f t="shared" si="119"/>
        <v>81317.2346635219</v>
      </c>
      <c r="M207" s="14">
        <f t="shared" si="119"/>
        <v>90866.746903786188</v>
      </c>
      <c r="N207" s="187">
        <f t="shared" si="119"/>
        <v>100425.4483489226</v>
      </c>
      <c r="O207" s="14">
        <f t="shared" si="119"/>
        <v>109713.56055239937</v>
      </c>
      <c r="P207" s="14">
        <f t="shared" si="119"/>
        <v>118891.28670378197</v>
      </c>
      <c r="Q207" s="14">
        <f t="shared" si="119"/>
        <v>128078.11409230114</v>
      </c>
      <c r="R207" s="14">
        <f t="shared" si="119"/>
        <v>137266.52583301096</v>
      </c>
      <c r="S207" s="14">
        <f t="shared" si="119"/>
        <v>146463.0396584488</v>
      </c>
      <c r="T207" s="14">
        <f t="shared" si="119"/>
        <v>155635.5058017204</v>
      </c>
      <c r="U207" s="14">
        <f t="shared" si="119"/>
        <v>164797.77578323323</v>
      </c>
      <c r="V207" s="14">
        <f t="shared" si="119"/>
        <v>173949.31523099914</v>
      </c>
      <c r="W207" s="14">
        <f t="shared" si="119"/>
        <v>183097.38609595763</v>
      </c>
      <c r="X207" s="187">
        <f t="shared" si="119"/>
        <v>192239.78132098966</v>
      </c>
      <c r="Y207" s="158">
        <f t="shared" ref="Y207:AH207" si="120">X207+Y200</f>
        <v>201370.99365073405</v>
      </c>
      <c r="Z207" s="158">
        <f t="shared" si="120"/>
        <v>210473.57739162364</v>
      </c>
      <c r="AA207" s="158">
        <f t="shared" si="120"/>
        <v>219567.49805524969</v>
      </c>
      <c r="AB207" s="158">
        <f t="shared" si="120"/>
        <v>228652.38295496601</v>
      </c>
      <c r="AC207" s="158">
        <f t="shared" si="120"/>
        <v>237730.96254975416</v>
      </c>
      <c r="AD207" s="158">
        <f t="shared" si="120"/>
        <v>246803.43437036441</v>
      </c>
      <c r="AE207" s="158">
        <f t="shared" si="120"/>
        <v>255864.41025540169</v>
      </c>
      <c r="AF207" s="158">
        <f t="shared" si="120"/>
        <v>264916.87720398192</v>
      </c>
      <c r="AG207" s="158">
        <f t="shared" si="120"/>
        <v>273964.735880666</v>
      </c>
      <c r="AH207" s="187">
        <f t="shared" si="120"/>
        <v>283006.21666260227</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719.00286000000006</v>
      </c>
      <c r="D213" s="341">
        <f t="shared" ref="D213:AH213" si="124">SUM(D214:D215)</f>
        <v>1048.7866153452476</v>
      </c>
      <c r="E213" s="341">
        <f t="shared" si="124"/>
        <v>1140.4703230701484</v>
      </c>
      <c r="F213" s="341">
        <f t="shared" si="124"/>
        <v>1301.7309780817386</v>
      </c>
      <c r="G213" s="341">
        <f t="shared" si="124"/>
        <v>1531.7471064055089</v>
      </c>
      <c r="H213" s="405">
        <f t="shared" si="124"/>
        <v>1536.4946537229471</v>
      </c>
      <c r="I213" s="15">
        <f t="shared" si="124"/>
        <v>1858.5606524684581</v>
      </c>
      <c r="J213" s="15">
        <f t="shared" si="124"/>
        <v>2088.5123379819433</v>
      </c>
      <c r="K213" s="15">
        <f t="shared" si="124"/>
        <v>2408.0972331874186</v>
      </c>
      <c r="L213" s="15">
        <f t="shared" si="124"/>
        <v>2723.0846054289354</v>
      </c>
      <c r="M213" s="15">
        <f t="shared" si="124"/>
        <v>3056.7755180932427</v>
      </c>
      <c r="N213" s="190">
        <f t="shared" si="124"/>
        <v>3439.1926400916018</v>
      </c>
      <c r="O213" s="15">
        <f t="shared" si="124"/>
        <v>3387.9071082941791</v>
      </c>
      <c r="P213" s="15">
        <f t="shared" si="124"/>
        <v>3385.6546437184952</v>
      </c>
      <c r="Q213" s="15">
        <f t="shared" si="124"/>
        <v>3420.8964656592525</v>
      </c>
      <c r="R213" s="15">
        <f t="shared" si="124"/>
        <v>3454.1609771082003</v>
      </c>
      <c r="S213" s="15">
        <f t="shared" si="124"/>
        <v>3490.2153545811757</v>
      </c>
      <c r="T213" s="15">
        <f t="shared" si="124"/>
        <v>3516.3090194869123</v>
      </c>
      <c r="U213" s="15">
        <f t="shared" si="124"/>
        <v>3547.1320578132027</v>
      </c>
      <c r="V213" s="15">
        <f t="shared" si="124"/>
        <v>3577.7630597144198</v>
      </c>
      <c r="W213" s="15">
        <f t="shared" si="124"/>
        <v>3611.3280667737363</v>
      </c>
      <c r="X213" s="190">
        <f t="shared" si="124"/>
        <v>3644.4300657263875</v>
      </c>
      <c r="Y213" s="130">
        <f t="shared" si="124"/>
        <v>3688.1003294145858</v>
      </c>
      <c r="Z213" s="130">
        <f t="shared" si="124"/>
        <v>3726.1153518967676</v>
      </c>
      <c r="AA213" s="130">
        <f t="shared" si="124"/>
        <v>3771.5865173235698</v>
      </c>
      <c r="AB213" s="130">
        <f t="shared" si="124"/>
        <v>3819.4028824647658</v>
      </c>
      <c r="AC213" s="130">
        <f t="shared" si="124"/>
        <v>3868.1581839798864</v>
      </c>
      <c r="AD213" s="130">
        <f t="shared" si="124"/>
        <v>3949.7612719224144</v>
      </c>
      <c r="AE213" s="130">
        <f t="shared" si="124"/>
        <v>4036.0545573395184</v>
      </c>
      <c r="AF213" s="130">
        <f t="shared" si="124"/>
        <v>4095.8064969190946</v>
      </c>
      <c r="AG213" s="130">
        <f t="shared" si="124"/>
        <v>4151.046567526686</v>
      </c>
      <c r="AH213" s="190">
        <f t="shared" si="124"/>
        <v>4209.0444463314252</v>
      </c>
    </row>
    <row r="214" spans="1:34">
      <c r="A214" t="s">
        <v>398</v>
      </c>
      <c r="C214" s="331">
        <f>C115</f>
        <v>378.42270000000002</v>
      </c>
      <c r="D214" s="331">
        <f t="shared" ref="D214:AH214" si="125">D115</f>
        <v>551.99311963624871</v>
      </c>
      <c r="E214" s="331">
        <f t="shared" si="125"/>
        <v>600.2477200439406</v>
      </c>
      <c r="F214" s="331">
        <f t="shared" si="125"/>
        <v>685.12177347348529</v>
      </c>
      <c r="G214" s="331">
        <f t="shared" si="125"/>
        <v>806.18290260034746</v>
      </c>
      <c r="H214" s="402">
        <f t="shared" si="125"/>
        <v>808.68153880155103</v>
      </c>
      <c r="I214" s="14">
        <f t="shared" si="125"/>
        <v>978.18998601802321</v>
      </c>
      <c r="J214" s="14">
        <f t="shared" si="125"/>
        <v>1099.2172065488621</v>
      </c>
      <c r="K214" s="14">
        <f t="shared" si="125"/>
        <v>1267.4198078124793</v>
      </c>
      <c r="L214" s="14">
        <f t="shared" si="125"/>
        <v>1433.2026588393567</v>
      </c>
      <c r="M214" s="14">
        <f t="shared" si="125"/>
        <v>1608.8294792216327</v>
      </c>
      <c r="N214" s="182">
        <f t="shared" si="125"/>
        <v>1810.1016760922168</v>
      </c>
      <c r="O214" s="14">
        <f t="shared" si="125"/>
        <v>1783.1092866623178</v>
      </c>
      <c r="P214" s="14">
        <f t="shared" si="125"/>
        <v>1781.9237788032187</v>
      </c>
      <c r="Q214" s="14">
        <f t="shared" si="125"/>
        <v>1800.4721090769799</v>
      </c>
      <c r="R214" s="14">
        <f t="shared" si="125"/>
        <v>1817.9797494534509</v>
      </c>
      <c r="S214" s="14">
        <f t="shared" si="125"/>
        <v>1836.9557406013489</v>
      </c>
      <c r="T214" s="14">
        <f t="shared" si="125"/>
        <v>1850.689250620725</v>
      </c>
      <c r="U214" s="14">
        <f t="shared" si="125"/>
        <v>1866.9119049397302</v>
      </c>
      <c r="V214" s="14">
        <f t="shared" si="125"/>
        <v>1883.0334874400637</v>
      </c>
      <c r="W214" s="14">
        <f t="shared" si="125"/>
        <v>1900.6992834259781</v>
      </c>
      <c r="X214" s="187">
        <f t="shared" si="125"/>
        <v>1918.1213908961199</v>
      </c>
      <c r="Y214" s="158">
        <f t="shared" si="125"/>
        <v>1941.1057438444857</v>
      </c>
      <c r="Z214" s="158">
        <f t="shared" si="125"/>
        <v>1961.113653581589</v>
      </c>
      <c r="AA214" s="158">
        <f t="shared" si="125"/>
        <v>1985.045849700311</v>
      </c>
      <c r="AB214" s="158">
        <f t="shared" si="125"/>
        <v>2010.2123616536014</v>
      </c>
      <c r="AC214" s="158">
        <f t="shared" si="125"/>
        <v>2035.8730507240796</v>
      </c>
      <c r="AD214" s="158">
        <f t="shared" si="125"/>
        <v>2078.8220511776058</v>
      </c>
      <c r="AE214" s="158">
        <f t="shared" si="125"/>
        <v>2124.2395770085654</v>
      </c>
      <c r="AF214" s="158">
        <f t="shared" si="125"/>
        <v>2155.6879712397881</v>
      </c>
      <c r="AG214" s="158">
        <f t="shared" si="125"/>
        <v>2184.7616972150649</v>
      </c>
      <c r="AH214" s="187">
        <f t="shared" si="125"/>
        <v>2215.2869014188823</v>
      </c>
    </row>
    <row r="215" spans="1:34">
      <c r="A215" t="s">
        <v>399</v>
      </c>
      <c r="C215" s="331">
        <f>C142</f>
        <v>340.58016000000003</v>
      </c>
      <c r="D215" s="331">
        <f t="shared" ref="D215:AH215" si="126">D142</f>
        <v>496.79349570899893</v>
      </c>
      <c r="E215" s="331">
        <f t="shared" si="126"/>
        <v>540.22260302620793</v>
      </c>
      <c r="F215" s="331">
        <f t="shared" si="126"/>
        <v>616.60920460825332</v>
      </c>
      <c r="G215" s="331">
        <f t="shared" si="126"/>
        <v>725.56420380516147</v>
      </c>
      <c r="H215" s="402">
        <f t="shared" si="126"/>
        <v>727.81311492139594</v>
      </c>
      <c r="I215" s="14">
        <f t="shared" si="126"/>
        <v>880.3706664504349</v>
      </c>
      <c r="J215" s="14">
        <f t="shared" si="126"/>
        <v>989.29513143308134</v>
      </c>
      <c r="K215" s="14">
        <f t="shared" si="126"/>
        <v>1140.6774253749393</v>
      </c>
      <c r="L215" s="14">
        <f t="shared" si="126"/>
        <v>1289.8819465895788</v>
      </c>
      <c r="M215" s="14">
        <f t="shared" si="126"/>
        <v>1447.9460388716097</v>
      </c>
      <c r="N215" s="182">
        <f t="shared" si="126"/>
        <v>1629.0909639993849</v>
      </c>
      <c r="O215" s="14">
        <f t="shared" si="126"/>
        <v>1604.7978216318616</v>
      </c>
      <c r="P215" s="14">
        <f t="shared" si="126"/>
        <v>1603.7308649152762</v>
      </c>
      <c r="Q215" s="14">
        <f t="shared" si="126"/>
        <v>1620.4243565822724</v>
      </c>
      <c r="R215" s="14">
        <f t="shared" si="126"/>
        <v>1636.1812276547494</v>
      </c>
      <c r="S215" s="14">
        <f t="shared" si="126"/>
        <v>1653.2596139798268</v>
      </c>
      <c r="T215" s="14">
        <f t="shared" si="126"/>
        <v>1665.6197688661873</v>
      </c>
      <c r="U215" s="14">
        <f t="shared" si="126"/>
        <v>1680.2201528734724</v>
      </c>
      <c r="V215" s="14">
        <f t="shared" si="126"/>
        <v>1694.7295722743559</v>
      </c>
      <c r="W215" s="14">
        <f t="shared" si="126"/>
        <v>1710.6287833477584</v>
      </c>
      <c r="X215" s="187">
        <f t="shared" si="126"/>
        <v>1726.3086748302676</v>
      </c>
      <c r="Y215" s="158">
        <f t="shared" si="126"/>
        <v>1746.9945855700998</v>
      </c>
      <c r="Z215" s="158">
        <f t="shared" si="126"/>
        <v>1765.0016983151788</v>
      </c>
      <c r="AA215" s="158">
        <f t="shared" si="126"/>
        <v>1786.5406676232587</v>
      </c>
      <c r="AB215" s="158">
        <f t="shared" si="126"/>
        <v>1809.1905208111641</v>
      </c>
      <c r="AC215" s="158">
        <f t="shared" si="126"/>
        <v>1832.2851332558068</v>
      </c>
      <c r="AD215" s="158">
        <f t="shared" si="126"/>
        <v>1870.9392207448084</v>
      </c>
      <c r="AE215" s="158">
        <f t="shared" si="126"/>
        <v>1911.8149803309529</v>
      </c>
      <c r="AF215" s="158">
        <f t="shared" si="126"/>
        <v>1940.1185256793065</v>
      </c>
      <c r="AG215" s="158">
        <f t="shared" si="126"/>
        <v>1966.2848703116206</v>
      </c>
      <c r="AH215" s="187">
        <f t="shared" si="126"/>
        <v>1993.7575449125432</v>
      </c>
    </row>
    <row r="216" spans="1:34">
      <c r="A216" t="s">
        <v>400</v>
      </c>
      <c r="C216" s="331">
        <f>SUM(C217:C218)</f>
        <v>275.59214999999995</v>
      </c>
      <c r="D216" s="331">
        <f t="shared" ref="D216:AH216" si="127">SUM(D217:D218)</f>
        <v>282.4788204777966</v>
      </c>
      <c r="E216" s="331">
        <f t="shared" si="127"/>
        <v>277.0239175322161</v>
      </c>
      <c r="F216" s="331">
        <f t="shared" si="127"/>
        <v>278.64131018580298</v>
      </c>
      <c r="G216" s="331">
        <f t="shared" si="127"/>
        <v>257.59706700991023</v>
      </c>
      <c r="H216" s="402">
        <f t="shared" si="127"/>
        <v>240.23543512882893</v>
      </c>
      <c r="I216" s="14">
        <f t="shared" si="127"/>
        <v>255.91277510842571</v>
      </c>
      <c r="J216" s="14">
        <f t="shared" si="127"/>
        <v>253.23127058746894</v>
      </c>
      <c r="K216" s="14">
        <f t="shared" si="127"/>
        <v>257.08356335625911</v>
      </c>
      <c r="L216" s="14">
        <f t="shared" si="127"/>
        <v>255.93839397243113</v>
      </c>
      <c r="M216" s="14">
        <f t="shared" si="127"/>
        <v>252.90936623665942</v>
      </c>
      <c r="N216" s="190">
        <f t="shared" si="127"/>
        <v>250.45919879720287</v>
      </c>
      <c r="O216" s="14">
        <f t="shared" si="127"/>
        <v>245.59912981587581</v>
      </c>
      <c r="P216" s="14">
        <f t="shared" si="127"/>
        <v>244.31053727171641</v>
      </c>
      <c r="Q216" s="14">
        <f t="shared" si="127"/>
        <v>245.71584333504589</v>
      </c>
      <c r="R216" s="14">
        <f t="shared" si="127"/>
        <v>246.95570590179813</v>
      </c>
      <c r="S216" s="15">
        <f t="shared" si="127"/>
        <v>248.37143992701169</v>
      </c>
      <c r="T216" s="14">
        <f t="shared" si="127"/>
        <v>249.05724557733694</v>
      </c>
      <c r="U216" s="14">
        <f t="shared" si="127"/>
        <v>250.05877227494585</v>
      </c>
      <c r="V216" s="14">
        <f t="shared" si="127"/>
        <v>251.02609866139304</v>
      </c>
      <c r="W216" s="14">
        <f t="shared" si="127"/>
        <v>252.17781401372605</v>
      </c>
      <c r="X216" s="187">
        <f t="shared" si="127"/>
        <v>253.27501372073681</v>
      </c>
      <c r="Y216" s="158">
        <f t="shared" si="127"/>
        <v>252.84299716057978</v>
      </c>
      <c r="Z216" s="158">
        <f t="shared" si="127"/>
        <v>251.9936677084502</v>
      </c>
      <c r="AA216" s="158">
        <f t="shared" si="127"/>
        <v>251.61831435149224</v>
      </c>
      <c r="AB216" s="158">
        <f t="shared" si="127"/>
        <v>251.36116779254837</v>
      </c>
      <c r="AC216" s="158">
        <f t="shared" si="127"/>
        <v>251.1257429290128</v>
      </c>
      <c r="AD216" s="158">
        <f t="shared" si="127"/>
        <v>252.95417802426385</v>
      </c>
      <c r="AE216" s="158">
        <f t="shared" si="127"/>
        <v>254.98330063165844</v>
      </c>
      <c r="AF216" s="158">
        <f t="shared" si="127"/>
        <v>255.25691784508541</v>
      </c>
      <c r="AG216" s="158">
        <f t="shared" si="127"/>
        <v>255.19888085850585</v>
      </c>
      <c r="AH216" s="187">
        <f t="shared" si="127"/>
        <v>255.26292451979785</v>
      </c>
    </row>
    <row r="217" spans="1:34">
      <c r="A217" t="s">
        <v>401</v>
      </c>
      <c r="C217" s="331">
        <f>C114</f>
        <v>145.04849999999999</v>
      </c>
      <c r="D217" s="331">
        <f t="shared" ref="D217:AH217" si="128">D114</f>
        <v>148.67306340936662</v>
      </c>
      <c r="E217" s="331">
        <f t="shared" si="128"/>
        <v>145.8020618590611</v>
      </c>
      <c r="F217" s="331">
        <f t="shared" si="128"/>
        <v>146.65332115042261</v>
      </c>
      <c r="G217" s="331">
        <f t="shared" si="128"/>
        <v>135.57740368942643</v>
      </c>
      <c r="H217" s="402">
        <f t="shared" si="128"/>
        <v>126.43970269938364</v>
      </c>
      <c r="I217" s="14">
        <f t="shared" si="128"/>
        <v>134.69093426759247</v>
      </c>
      <c r="J217" s="14">
        <f t="shared" si="128"/>
        <v>133.27961609866787</v>
      </c>
      <c r="K217" s="14">
        <f t="shared" si="128"/>
        <v>135.30713860855741</v>
      </c>
      <c r="L217" s="14">
        <f t="shared" si="128"/>
        <v>134.70441788022691</v>
      </c>
      <c r="M217" s="14">
        <f t="shared" si="128"/>
        <v>133.11019275613654</v>
      </c>
      <c r="N217" s="187">
        <f t="shared" si="128"/>
        <v>131.82063094589626</v>
      </c>
      <c r="O217" s="14">
        <f t="shared" si="128"/>
        <v>129.26269990309254</v>
      </c>
      <c r="P217" s="14">
        <f t="shared" si="128"/>
        <v>128.58449330090338</v>
      </c>
      <c r="Q217" s="14">
        <f t="shared" si="128"/>
        <v>129.32412807107679</v>
      </c>
      <c r="R217" s="14">
        <f t="shared" si="128"/>
        <v>129.97668731673585</v>
      </c>
      <c r="S217" s="14">
        <f t="shared" si="128"/>
        <v>130.72181048790088</v>
      </c>
      <c r="T217" s="14">
        <f t="shared" si="128"/>
        <v>131.08276083017734</v>
      </c>
      <c r="U217" s="14">
        <f t="shared" si="128"/>
        <v>131.60988014470834</v>
      </c>
      <c r="V217" s="14">
        <f t="shared" si="128"/>
        <v>132.11899929547002</v>
      </c>
      <c r="W217" s="14">
        <f t="shared" si="128"/>
        <v>132.72516527038212</v>
      </c>
      <c r="X217" s="187">
        <f t="shared" si="128"/>
        <v>133.3026388003878</v>
      </c>
      <c r="Y217" s="158">
        <f t="shared" si="128"/>
        <v>133.07526166346304</v>
      </c>
      <c r="Z217" s="158">
        <f t="shared" si="128"/>
        <v>132.62824616234221</v>
      </c>
      <c r="AA217" s="158">
        <f t="shared" si="128"/>
        <v>132.43069176394329</v>
      </c>
      <c r="AB217" s="158">
        <f t="shared" si="128"/>
        <v>132.29535146976229</v>
      </c>
      <c r="AC217" s="158">
        <f t="shared" si="128"/>
        <v>132.17144364684884</v>
      </c>
      <c r="AD217" s="158">
        <f t="shared" si="128"/>
        <v>133.13377790750729</v>
      </c>
      <c r="AE217" s="158">
        <f t="shared" si="128"/>
        <v>134.20173717455708</v>
      </c>
      <c r="AF217" s="158">
        <f t="shared" si="128"/>
        <v>134.34574623425547</v>
      </c>
      <c r="AG217" s="158">
        <f t="shared" si="128"/>
        <v>134.31520045184519</v>
      </c>
      <c r="AH217" s="187">
        <f t="shared" si="128"/>
        <v>134.34890764199886</v>
      </c>
    </row>
    <row r="218" spans="1:34">
      <c r="A218" t="s">
        <v>402</v>
      </c>
      <c r="C218" s="331">
        <f>C141</f>
        <v>130.54364999999999</v>
      </c>
      <c r="D218" s="331">
        <f t="shared" ref="D218:AH218" si="129">D141</f>
        <v>133.80575706842995</v>
      </c>
      <c r="E218" s="331">
        <f t="shared" si="129"/>
        <v>131.22185567315501</v>
      </c>
      <c r="F218" s="331">
        <f t="shared" si="129"/>
        <v>131.98798903538037</v>
      </c>
      <c r="G218" s="331">
        <f t="shared" si="129"/>
        <v>122.01966332048379</v>
      </c>
      <c r="H218" s="402">
        <f t="shared" si="129"/>
        <v>113.79573242944528</v>
      </c>
      <c r="I218" s="14">
        <f t="shared" si="129"/>
        <v>121.22184084083322</v>
      </c>
      <c r="J218" s="14">
        <f t="shared" si="129"/>
        <v>119.95165448880108</v>
      </c>
      <c r="K218" s="14">
        <f t="shared" si="129"/>
        <v>121.77642474770167</v>
      </c>
      <c r="L218" s="14">
        <f t="shared" si="129"/>
        <v>121.23397609220423</v>
      </c>
      <c r="M218" s="14">
        <f t="shared" si="129"/>
        <v>119.7991734805229</v>
      </c>
      <c r="N218" s="187">
        <f t="shared" si="129"/>
        <v>118.63856785130663</v>
      </c>
      <c r="O218" s="14">
        <f t="shared" si="129"/>
        <v>116.33642991278329</v>
      </c>
      <c r="P218" s="14">
        <f t="shared" si="129"/>
        <v>115.72604397081304</v>
      </c>
      <c r="Q218" s="14">
        <f t="shared" si="129"/>
        <v>116.3917152639691</v>
      </c>
      <c r="R218" s="14">
        <f t="shared" si="129"/>
        <v>116.97901858506226</v>
      </c>
      <c r="S218" s="14">
        <f t="shared" si="129"/>
        <v>117.6496294391108</v>
      </c>
      <c r="T218" s="14">
        <f t="shared" si="129"/>
        <v>117.97448474715961</v>
      </c>
      <c r="U218" s="14">
        <f t="shared" si="129"/>
        <v>118.44889213023751</v>
      </c>
      <c r="V218" s="14">
        <f t="shared" si="129"/>
        <v>118.90709936592302</v>
      </c>
      <c r="W218" s="14">
        <f t="shared" si="129"/>
        <v>119.45264874334391</v>
      </c>
      <c r="X218" s="187">
        <f t="shared" si="129"/>
        <v>119.97237492034903</v>
      </c>
      <c r="Y218" s="158">
        <f t="shared" si="129"/>
        <v>119.76773549711673</v>
      </c>
      <c r="Z218" s="158">
        <f t="shared" si="129"/>
        <v>119.365421546108</v>
      </c>
      <c r="AA218" s="158">
        <f t="shared" si="129"/>
        <v>119.18762258754896</v>
      </c>
      <c r="AB218" s="158">
        <f t="shared" si="129"/>
        <v>119.06581632278606</v>
      </c>
      <c r="AC218" s="158">
        <f t="shared" si="129"/>
        <v>118.95429928216396</v>
      </c>
      <c r="AD218" s="158">
        <f t="shared" si="129"/>
        <v>119.82040011675657</v>
      </c>
      <c r="AE218" s="158">
        <f t="shared" si="129"/>
        <v>120.78156345710137</v>
      </c>
      <c r="AF218" s="158">
        <f t="shared" si="129"/>
        <v>120.91117161082992</v>
      </c>
      <c r="AG218" s="158">
        <f t="shared" si="129"/>
        <v>120.88368040666067</v>
      </c>
      <c r="AH218" s="187">
        <f t="shared" si="129"/>
        <v>120.91401687779899</v>
      </c>
    </row>
    <row r="219" spans="1:34" s="1" customFormat="1">
      <c r="A219" s="1" t="s">
        <v>394</v>
      </c>
      <c r="B219" s="13"/>
      <c r="C219" s="341">
        <f>SUM(C220:C221)</f>
        <v>8870.3780000000006</v>
      </c>
      <c r="D219" s="341">
        <f t="shared" ref="D219:AH219" si="130">SUM(D220:D221)</f>
        <v>9087.0764501534104</v>
      </c>
      <c r="E219" s="341">
        <f t="shared" si="130"/>
        <v>8902.3368533649136</v>
      </c>
      <c r="F219" s="341">
        <f t="shared" si="130"/>
        <v>8922.4372850384316</v>
      </c>
      <c r="G219" s="341">
        <f t="shared" si="130"/>
        <v>8262.7321723714831</v>
      </c>
      <c r="H219" s="405">
        <f t="shared" si="130"/>
        <v>8592.8950532667914</v>
      </c>
      <c r="I219" s="15">
        <f t="shared" si="130"/>
        <v>9126.9800948948578</v>
      </c>
      <c r="J219" s="15">
        <f t="shared" si="130"/>
        <v>8973.361403696701</v>
      </c>
      <c r="K219" s="15">
        <f t="shared" si="130"/>
        <v>9040.188574811169</v>
      </c>
      <c r="L219" s="15">
        <f t="shared" si="130"/>
        <v>8902.1578683850712</v>
      </c>
      <c r="M219" s="15">
        <f t="shared" si="130"/>
        <v>8672.0907358657478</v>
      </c>
      <c r="N219" s="190">
        <f t="shared" si="130"/>
        <v>8435.4077828257268</v>
      </c>
      <c r="O219" s="15">
        <f t="shared" si="130"/>
        <v>8202.3005338999465</v>
      </c>
      <c r="P219" s="15">
        <f t="shared" si="130"/>
        <v>8094.4675329623569</v>
      </c>
      <c r="Q219" s="15">
        <f t="shared" si="130"/>
        <v>8079.2841579681335</v>
      </c>
      <c r="R219" s="15">
        <f t="shared" si="130"/>
        <v>8058.2078273110064</v>
      </c>
      <c r="S219" s="15">
        <f t="shared" si="130"/>
        <v>8042.800097556019</v>
      </c>
      <c r="T219" s="15">
        <f t="shared" si="130"/>
        <v>8002.82285372971</v>
      </c>
      <c r="U219" s="15">
        <f t="shared" si="130"/>
        <v>7973.3263717923901</v>
      </c>
      <c r="V219" s="15">
        <f t="shared" si="130"/>
        <v>7942.5929151675045</v>
      </c>
      <c r="W219" s="15">
        <f t="shared" si="130"/>
        <v>7917.7574671744405</v>
      </c>
      <c r="X219" s="190">
        <f t="shared" si="130"/>
        <v>7890.9754607566683</v>
      </c>
      <c r="Y219" s="130">
        <f t="shared" si="130"/>
        <v>7853.4950309832002</v>
      </c>
      <c r="Z219" s="130">
        <f t="shared" si="130"/>
        <v>7802.2732383166513</v>
      </c>
      <c r="AA219" s="130">
        <f t="shared" si="130"/>
        <v>7765.9432259882315</v>
      </c>
      <c r="AB219" s="130">
        <f t="shared" si="130"/>
        <v>7733.0162661521335</v>
      </c>
      <c r="AC219" s="130">
        <f t="shared" si="130"/>
        <v>7700.3832469973167</v>
      </c>
      <c r="AD219" s="130">
        <f t="shared" si="130"/>
        <v>7732.7618975372679</v>
      </c>
      <c r="AE219" s="130">
        <f t="shared" si="130"/>
        <v>7770.6553353003274</v>
      </c>
      <c r="AF219" s="130">
        <f t="shared" si="130"/>
        <v>7752.3729555720092</v>
      </c>
      <c r="AG219" s="130">
        <f t="shared" si="130"/>
        <v>7723.1443429483606</v>
      </c>
      <c r="AH219" s="190">
        <f t="shared" si="130"/>
        <v>7697.2648274482799</v>
      </c>
    </row>
    <row r="220" spans="1:34">
      <c r="A220" t="s">
        <v>403</v>
      </c>
      <c r="C220" s="331">
        <f>SUM(C116:C117)</f>
        <v>4668.62</v>
      </c>
      <c r="D220" s="331">
        <f t="shared" ref="D220:AH220" si="131">SUM(D116:D117)</f>
        <v>4782.6718158702161</v>
      </c>
      <c r="E220" s="331">
        <f t="shared" si="131"/>
        <v>4685.440449139428</v>
      </c>
      <c r="F220" s="331">
        <f t="shared" si="131"/>
        <v>4696.0196237044383</v>
      </c>
      <c r="G220" s="331">
        <f t="shared" si="131"/>
        <v>4348.8064065113067</v>
      </c>
      <c r="H220" s="402">
        <f t="shared" si="131"/>
        <v>4522.5763438246267</v>
      </c>
      <c r="I220" s="14">
        <f t="shared" si="131"/>
        <v>4803.6737341551889</v>
      </c>
      <c r="J220" s="14">
        <f t="shared" si="131"/>
        <v>4722.8217914193165</v>
      </c>
      <c r="K220" s="14">
        <f t="shared" si="131"/>
        <v>4757.9939867427202</v>
      </c>
      <c r="L220" s="14">
        <f t="shared" si="131"/>
        <v>4685.3462465184593</v>
      </c>
      <c r="M220" s="14">
        <f t="shared" si="131"/>
        <v>4564.2582820346042</v>
      </c>
      <c r="N220" s="187">
        <f t="shared" si="131"/>
        <v>4439.6883067503823</v>
      </c>
      <c r="O220" s="14">
        <f t="shared" si="131"/>
        <v>4317.0002809999723</v>
      </c>
      <c r="P220" s="14">
        <f t="shared" si="131"/>
        <v>4260.2460699801877</v>
      </c>
      <c r="Q220" s="14">
        <f t="shared" si="131"/>
        <v>4252.2548199832281</v>
      </c>
      <c r="R220" s="14">
        <f t="shared" si="131"/>
        <v>4241.1620143742139</v>
      </c>
      <c r="S220" s="14">
        <f t="shared" si="131"/>
        <v>4233.0526829242199</v>
      </c>
      <c r="T220" s="14">
        <f t="shared" si="131"/>
        <v>4212.0120282787948</v>
      </c>
      <c r="U220" s="14">
        <f t="shared" si="131"/>
        <v>4196.4875641012577</v>
      </c>
      <c r="V220" s="14">
        <f t="shared" si="131"/>
        <v>4180.3120606144757</v>
      </c>
      <c r="W220" s="14">
        <f t="shared" si="131"/>
        <v>4167.240772197074</v>
      </c>
      <c r="X220" s="187">
        <f t="shared" si="131"/>
        <v>4153.144979345615</v>
      </c>
      <c r="Y220" s="158">
        <f t="shared" si="131"/>
        <v>4133.418437359579</v>
      </c>
      <c r="Z220" s="158">
        <f t="shared" si="131"/>
        <v>4106.4595991140268</v>
      </c>
      <c r="AA220" s="158">
        <f t="shared" si="131"/>
        <v>4087.3385399938061</v>
      </c>
      <c r="AB220" s="158">
        <f t="shared" si="131"/>
        <v>4070.0085611327017</v>
      </c>
      <c r="AC220" s="158">
        <f t="shared" si="131"/>
        <v>4052.8332878933243</v>
      </c>
      <c r="AD220" s="158">
        <f t="shared" si="131"/>
        <v>4069.874682914352</v>
      </c>
      <c r="AE220" s="158">
        <f t="shared" si="131"/>
        <v>4089.8185975264878</v>
      </c>
      <c r="AF220" s="158">
        <f t="shared" si="131"/>
        <v>4080.1962924063205</v>
      </c>
      <c r="AG220" s="158">
        <f t="shared" si="131"/>
        <v>4064.8128120780848</v>
      </c>
      <c r="AH220" s="187">
        <f t="shared" si="131"/>
        <v>4051.1920144464634</v>
      </c>
    </row>
    <row r="221" spans="1:34">
      <c r="A221" t="s">
        <v>404</v>
      </c>
      <c r="C221" s="331">
        <f>SUM(C143:C144)</f>
        <v>4201.7579999999998</v>
      </c>
      <c r="D221" s="331">
        <f t="shared" ref="D221:AH221" si="132">SUM(D143:D144)</f>
        <v>4304.4046342831934</v>
      </c>
      <c r="E221" s="331">
        <f t="shared" si="132"/>
        <v>4216.8964042254856</v>
      </c>
      <c r="F221" s="331">
        <f t="shared" si="132"/>
        <v>4226.4176613339941</v>
      </c>
      <c r="G221" s="331">
        <f t="shared" si="132"/>
        <v>3913.9257658601759</v>
      </c>
      <c r="H221" s="402">
        <f t="shared" si="132"/>
        <v>4070.3187094421642</v>
      </c>
      <c r="I221" s="14">
        <f t="shared" si="132"/>
        <v>4323.3063607396698</v>
      </c>
      <c r="J221" s="14">
        <f t="shared" si="132"/>
        <v>4250.5396122773845</v>
      </c>
      <c r="K221" s="14">
        <f t="shared" si="132"/>
        <v>4282.1945880684489</v>
      </c>
      <c r="L221" s="14">
        <f t="shared" si="132"/>
        <v>4216.8116218666128</v>
      </c>
      <c r="M221" s="14">
        <f t="shared" si="132"/>
        <v>4107.8324538311435</v>
      </c>
      <c r="N221" s="187">
        <f t="shared" si="132"/>
        <v>3995.7194760753446</v>
      </c>
      <c r="O221" s="14">
        <f t="shared" si="132"/>
        <v>3885.300252899975</v>
      </c>
      <c r="P221" s="14">
        <f t="shared" si="132"/>
        <v>3834.2214629821688</v>
      </c>
      <c r="Q221" s="14">
        <f t="shared" si="132"/>
        <v>3827.0293379849059</v>
      </c>
      <c r="R221" s="14">
        <f t="shared" si="132"/>
        <v>3817.0458129367926</v>
      </c>
      <c r="S221" s="14">
        <f t="shared" si="132"/>
        <v>3809.7474146317986</v>
      </c>
      <c r="T221" s="14">
        <f t="shared" si="132"/>
        <v>3790.8108254509152</v>
      </c>
      <c r="U221" s="14">
        <f t="shared" si="132"/>
        <v>3776.8388076911324</v>
      </c>
      <c r="V221" s="14">
        <f t="shared" si="132"/>
        <v>3762.2808545530283</v>
      </c>
      <c r="W221" s="14">
        <f t="shared" si="132"/>
        <v>3750.5166949773661</v>
      </c>
      <c r="X221" s="187">
        <f t="shared" si="132"/>
        <v>3737.8304814110534</v>
      </c>
      <c r="Y221" s="158">
        <f t="shared" si="132"/>
        <v>3720.0765936236216</v>
      </c>
      <c r="Z221" s="158">
        <f t="shared" si="132"/>
        <v>3695.813639202624</v>
      </c>
      <c r="AA221" s="158">
        <f t="shared" si="132"/>
        <v>3678.6046859944254</v>
      </c>
      <c r="AB221" s="158">
        <f t="shared" si="132"/>
        <v>3663.0077050194318</v>
      </c>
      <c r="AC221" s="158">
        <f t="shared" si="132"/>
        <v>3647.549959103992</v>
      </c>
      <c r="AD221" s="158">
        <f t="shared" si="132"/>
        <v>3662.8872146229164</v>
      </c>
      <c r="AE221" s="158">
        <f t="shared" si="132"/>
        <v>3680.8367377738391</v>
      </c>
      <c r="AF221" s="158">
        <f t="shared" si="132"/>
        <v>3672.1766631656888</v>
      </c>
      <c r="AG221" s="158">
        <f t="shared" si="132"/>
        <v>3658.3315308702763</v>
      </c>
      <c r="AH221" s="187">
        <f t="shared" si="132"/>
        <v>3646.0728130018169</v>
      </c>
    </row>
    <row r="222" spans="1:34">
      <c r="A222" s="1" t="s">
        <v>426</v>
      </c>
      <c r="C222" s="331">
        <f>SUM(C210,C213,C216,C219)</f>
        <v>9864.9730100000015</v>
      </c>
      <c r="D222" s="331">
        <f t="shared" ref="D222:AH222" si="133">SUM(D210,D213,D216,D219)</f>
        <v>10418.341885976455</v>
      </c>
      <c r="E222" s="331">
        <f t="shared" si="133"/>
        <v>10319.831093967277</v>
      </c>
      <c r="F222" s="331">
        <f t="shared" si="133"/>
        <v>10502.809573305973</v>
      </c>
      <c r="G222" s="331">
        <f t="shared" si="133"/>
        <v>10052.076345786902</v>
      </c>
      <c r="H222" s="402">
        <f t="shared" si="133"/>
        <v>10369.625142118568</v>
      </c>
      <c r="I222" s="14">
        <f t="shared" si="133"/>
        <v>11241.453522471742</v>
      </c>
      <c r="J222" s="14">
        <f t="shared" si="133"/>
        <v>11315.105012266113</v>
      </c>
      <c r="K222" s="14">
        <f t="shared" si="133"/>
        <v>11705.369371354847</v>
      </c>
      <c r="L222" s="14">
        <f t="shared" si="133"/>
        <v>11881.180867786437</v>
      </c>
      <c r="M222" s="14">
        <f t="shared" si="133"/>
        <v>11981.775620195651</v>
      </c>
      <c r="N222" s="187">
        <f t="shared" si="133"/>
        <v>12125.059621714532</v>
      </c>
      <c r="O222" s="14">
        <f t="shared" si="133"/>
        <v>11835.806772010001</v>
      </c>
      <c r="P222" s="14">
        <f t="shared" si="133"/>
        <v>11724.432713952569</v>
      </c>
      <c r="Q222" s="14">
        <f t="shared" si="133"/>
        <v>11745.896466962433</v>
      </c>
      <c r="R222" s="14">
        <f t="shared" si="133"/>
        <v>11759.324510321005</v>
      </c>
      <c r="S222" s="14">
        <f t="shared" si="133"/>
        <v>11781.386892064205</v>
      </c>
      <c r="T222" s="14">
        <f t="shared" si="133"/>
        <v>11768.189118793958</v>
      </c>
      <c r="U222" s="14">
        <f t="shared" si="133"/>
        <v>11770.517201880539</v>
      </c>
      <c r="V222" s="14">
        <f t="shared" si="133"/>
        <v>11771.382073543318</v>
      </c>
      <c r="W222" s="14">
        <f t="shared" si="133"/>
        <v>11781.263347961903</v>
      </c>
      <c r="X222" s="187">
        <f t="shared" si="133"/>
        <v>11788.680540203793</v>
      </c>
      <c r="Y222" s="158">
        <f t="shared" si="133"/>
        <v>11794.438357558365</v>
      </c>
      <c r="Z222" s="158">
        <f t="shared" si="133"/>
        <v>11780.382257921869</v>
      </c>
      <c r="AA222" s="158">
        <f t="shared" si="133"/>
        <v>11789.148057663293</v>
      </c>
      <c r="AB222" s="158">
        <f t="shared" si="133"/>
        <v>11803.780316409448</v>
      </c>
      <c r="AC222" s="158">
        <f t="shared" si="133"/>
        <v>11819.667173906215</v>
      </c>
      <c r="AD222" s="158">
        <f t="shared" si="133"/>
        <v>11935.477347483946</v>
      </c>
      <c r="AE222" s="158">
        <f t="shared" si="133"/>
        <v>12061.693193271505</v>
      </c>
      <c r="AF222" s="158">
        <f t="shared" si="133"/>
        <v>12103.436370336189</v>
      </c>
      <c r="AG222" s="158">
        <f t="shared" si="133"/>
        <v>12129.389791333553</v>
      </c>
      <c r="AH222" s="187">
        <f t="shared" si="133"/>
        <v>12161.572198299502</v>
      </c>
    </row>
    <row r="223" spans="1:34" s="1" customFormat="1">
      <c r="A223" s="1" t="s">
        <v>444</v>
      </c>
      <c r="B223" s="13"/>
      <c r="C223" s="328" t="s">
        <v>0</v>
      </c>
      <c r="D223" s="341">
        <f>D210+D213</f>
        <v>1048.7866153452476</v>
      </c>
      <c r="E223" s="341">
        <f t="shared" ref="E223:AH223" si="134">E210+E213</f>
        <v>1140.4703230701484</v>
      </c>
      <c r="F223" s="341">
        <f t="shared" si="134"/>
        <v>1301.7309780817386</v>
      </c>
      <c r="G223" s="341">
        <f t="shared" si="134"/>
        <v>1531.7471064055089</v>
      </c>
      <c r="H223" s="405">
        <f>H210+H213</f>
        <v>1536.4946537229471</v>
      </c>
      <c r="I223" s="15">
        <f t="shared" si="134"/>
        <v>1858.5606524684581</v>
      </c>
      <c r="J223" s="15">
        <f t="shared" si="134"/>
        <v>2088.5123379819433</v>
      </c>
      <c r="K223" s="15">
        <f t="shared" si="134"/>
        <v>2408.0972331874186</v>
      </c>
      <c r="L223" s="15">
        <f t="shared" si="134"/>
        <v>2723.0846054289354</v>
      </c>
      <c r="M223" s="15">
        <f t="shared" si="134"/>
        <v>3056.7755180932427</v>
      </c>
      <c r="N223" s="190">
        <f t="shared" si="134"/>
        <v>3439.1926400916018</v>
      </c>
      <c r="O223" s="15">
        <f t="shared" si="134"/>
        <v>3387.9071082941791</v>
      </c>
      <c r="P223" s="15">
        <f t="shared" si="134"/>
        <v>3385.6546437184952</v>
      </c>
      <c r="Q223" s="15">
        <f t="shared" si="134"/>
        <v>3420.8964656592525</v>
      </c>
      <c r="R223" s="15">
        <f t="shared" si="134"/>
        <v>3454.1609771082003</v>
      </c>
      <c r="S223" s="15">
        <f t="shared" si="134"/>
        <v>3490.2153545811757</v>
      </c>
      <c r="T223" s="15">
        <f t="shared" si="134"/>
        <v>3516.3090194869123</v>
      </c>
      <c r="U223" s="15">
        <f t="shared" si="134"/>
        <v>3547.1320578132027</v>
      </c>
      <c r="V223" s="15">
        <f t="shared" si="134"/>
        <v>3577.7630597144198</v>
      </c>
      <c r="W223" s="15">
        <f t="shared" si="134"/>
        <v>3611.3280667737363</v>
      </c>
      <c r="X223" s="190">
        <f t="shared" si="134"/>
        <v>3644.4300657263875</v>
      </c>
      <c r="Y223" s="130">
        <f t="shared" si="134"/>
        <v>3688.1003294145858</v>
      </c>
      <c r="Z223" s="130">
        <f t="shared" si="134"/>
        <v>3726.1153518967676</v>
      </c>
      <c r="AA223" s="130">
        <f t="shared" si="134"/>
        <v>3771.5865173235698</v>
      </c>
      <c r="AB223" s="130">
        <f t="shared" si="134"/>
        <v>3819.4028824647658</v>
      </c>
      <c r="AC223" s="130">
        <f t="shared" si="134"/>
        <v>3868.1581839798864</v>
      </c>
      <c r="AD223" s="130">
        <f t="shared" si="134"/>
        <v>3949.7612719224144</v>
      </c>
      <c r="AE223" s="130">
        <f t="shared" si="134"/>
        <v>4036.0545573395184</v>
      </c>
      <c r="AF223" s="130">
        <f t="shared" si="134"/>
        <v>4095.8064969190946</v>
      </c>
      <c r="AG223" s="130">
        <f t="shared" si="134"/>
        <v>4151.046567526686</v>
      </c>
      <c r="AH223" s="190">
        <f t="shared" si="134"/>
        <v>4209.0444463314252</v>
      </c>
    </row>
    <row r="224" spans="1:34">
      <c r="A224" t="s">
        <v>447</v>
      </c>
      <c r="D224" s="331">
        <f>D210+D213+D216</f>
        <v>1331.2654358230443</v>
      </c>
      <c r="E224" s="331">
        <f t="shared" ref="E224:AH224" si="135">E210+E213+E216</f>
        <v>1417.4942406023645</v>
      </c>
      <c r="F224" s="331">
        <f t="shared" si="135"/>
        <v>1580.3722882675415</v>
      </c>
      <c r="G224" s="331">
        <f t="shared" si="135"/>
        <v>1789.3441734154192</v>
      </c>
      <c r="H224" s="402">
        <f t="shared" si="135"/>
        <v>1776.7300888517759</v>
      </c>
      <c r="I224" s="14">
        <f t="shared" si="135"/>
        <v>2114.4734275768838</v>
      </c>
      <c r="J224" s="14">
        <f t="shared" si="135"/>
        <v>2341.7436085694121</v>
      </c>
      <c r="K224" s="14">
        <f t="shared" si="135"/>
        <v>2665.1807965436778</v>
      </c>
      <c r="L224" s="14">
        <f t="shared" si="135"/>
        <v>2979.0229994013666</v>
      </c>
      <c r="M224" s="14">
        <f t="shared" si="135"/>
        <v>3309.6848843299022</v>
      </c>
      <c r="N224" s="187">
        <f t="shared" si="135"/>
        <v>3689.6518388888048</v>
      </c>
      <c r="O224" s="14">
        <f t="shared" si="135"/>
        <v>3633.5062381100552</v>
      </c>
      <c r="P224" s="14">
        <f t="shared" si="135"/>
        <v>3629.9651809902116</v>
      </c>
      <c r="Q224" s="14">
        <f t="shared" si="135"/>
        <v>3666.6123089942985</v>
      </c>
      <c r="R224" s="14">
        <f t="shared" si="135"/>
        <v>3701.1166830099983</v>
      </c>
      <c r="S224" s="14">
        <f t="shared" si="135"/>
        <v>3738.5867945081873</v>
      </c>
      <c r="T224" s="14">
        <f t="shared" si="135"/>
        <v>3765.3662650642491</v>
      </c>
      <c r="U224" s="14">
        <f t="shared" si="135"/>
        <v>3797.1908300881487</v>
      </c>
      <c r="V224" s="14">
        <f t="shared" si="135"/>
        <v>3828.7891583758128</v>
      </c>
      <c r="W224" s="14">
        <f t="shared" si="135"/>
        <v>3863.5058807874625</v>
      </c>
      <c r="X224" s="187">
        <f t="shared" si="135"/>
        <v>3897.7050794471243</v>
      </c>
      <c r="Y224" s="158">
        <f t="shared" si="135"/>
        <v>3940.9433265751654</v>
      </c>
      <c r="Z224" s="158">
        <f t="shared" si="135"/>
        <v>3978.1090196052178</v>
      </c>
      <c r="AA224" s="158">
        <f t="shared" si="135"/>
        <v>4023.204831675062</v>
      </c>
      <c r="AB224" s="158">
        <f t="shared" si="135"/>
        <v>4070.764050257314</v>
      </c>
      <c r="AC224" s="158">
        <f t="shared" si="135"/>
        <v>4119.283926908899</v>
      </c>
      <c r="AD224" s="158">
        <f t="shared" si="135"/>
        <v>4202.7154499466778</v>
      </c>
      <c r="AE224" s="158">
        <f t="shared" si="135"/>
        <v>4291.0378579711769</v>
      </c>
      <c r="AF224" s="158">
        <f t="shared" si="135"/>
        <v>4351.0634147641804</v>
      </c>
      <c r="AG224" s="158">
        <f t="shared" si="135"/>
        <v>4406.2454483851916</v>
      </c>
      <c r="AH224" s="187">
        <f t="shared" si="135"/>
        <v>4464.3073708512229</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1048.7866153452476</v>
      </c>
      <c r="E226" s="331">
        <f>D226+E210+E213</f>
        <v>2189.2569384153958</v>
      </c>
      <c r="F226" s="331">
        <f>E226+F210+F213</f>
        <v>3490.9879164971344</v>
      </c>
      <c r="G226" s="331">
        <f>F226+G210+G213</f>
        <v>5022.7350229026433</v>
      </c>
      <c r="H226" s="402">
        <f t="shared" ref="H226:X226" si="136">G226+H210+H213</f>
        <v>6559.2296766255904</v>
      </c>
      <c r="I226" s="14">
        <f t="shared" si="136"/>
        <v>8417.7903290940485</v>
      </c>
      <c r="J226" s="14">
        <f t="shared" si="136"/>
        <v>10506.302667075992</v>
      </c>
      <c r="K226" s="14">
        <f t="shared" si="136"/>
        <v>12914.39990026341</v>
      </c>
      <c r="L226" s="14">
        <f t="shared" si="136"/>
        <v>15637.484505692346</v>
      </c>
      <c r="M226" s="14">
        <f t="shared" si="136"/>
        <v>18694.260023785588</v>
      </c>
      <c r="N226" s="187">
        <f t="shared" si="136"/>
        <v>22133.452663877189</v>
      </c>
      <c r="O226" s="14">
        <f t="shared" si="136"/>
        <v>25521.359772171367</v>
      </c>
      <c r="P226" s="14">
        <f t="shared" si="136"/>
        <v>28907.014415889862</v>
      </c>
      <c r="Q226" s="14">
        <f t="shared" si="136"/>
        <v>32327.910881549113</v>
      </c>
      <c r="R226" s="14">
        <f t="shared" si="136"/>
        <v>35782.071858657313</v>
      </c>
      <c r="S226" s="14">
        <f t="shared" si="136"/>
        <v>39272.287213238487</v>
      </c>
      <c r="T226" s="14">
        <f t="shared" si="136"/>
        <v>42788.596232725402</v>
      </c>
      <c r="U226" s="14">
        <f t="shared" si="136"/>
        <v>46335.728290538602</v>
      </c>
      <c r="V226" s="14">
        <f t="shared" si="136"/>
        <v>49913.491350253025</v>
      </c>
      <c r="W226" s="14">
        <f t="shared" si="136"/>
        <v>53524.81941702676</v>
      </c>
      <c r="X226" s="187">
        <f t="shared" si="136"/>
        <v>57169.249482753148</v>
      </c>
      <c r="Y226" s="158">
        <f t="shared" ref="Y226:AH226" si="137">X226+Y210+Y213</f>
        <v>60857.349812167733</v>
      </c>
      <c r="Z226" s="158">
        <f t="shared" si="137"/>
        <v>64583.465164064502</v>
      </c>
      <c r="AA226" s="158">
        <f t="shared" si="137"/>
        <v>68355.051681388068</v>
      </c>
      <c r="AB226" s="158">
        <f t="shared" si="137"/>
        <v>72174.454563852836</v>
      </c>
      <c r="AC226" s="158">
        <f t="shared" si="137"/>
        <v>76042.612747832725</v>
      </c>
      <c r="AD226" s="158">
        <f t="shared" si="137"/>
        <v>79992.374019755138</v>
      </c>
      <c r="AE226" s="158">
        <f t="shared" si="137"/>
        <v>84028.428577094659</v>
      </c>
      <c r="AF226" s="158">
        <f t="shared" si="137"/>
        <v>88124.235074013748</v>
      </c>
      <c r="AG226" s="158">
        <f t="shared" si="137"/>
        <v>92275.281641540438</v>
      </c>
      <c r="AH226" s="187">
        <f t="shared" si="137"/>
        <v>96484.326087871857</v>
      </c>
    </row>
    <row r="227" spans="1:34">
      <c r="A227" s="1" t="s">
        <v>455</v>
      </c>
      <c r="D227" s="331">
        <f>D219</f>
        <v>9087.0764501534104</v>
      </c>
      <c r="E227" s="331">
        <f>D227+E219</f>
        <v>17989.413303518326</v>
      </c>
      <c r="F227" s="331">
        <f>E227+F219</f>
        <v>26911.850588556757</v>
      </c>
      <c r="G227" s="331">
        <f t="shared" ref="G227:X227" si="138">F227+G219</f>
        <v>35174.582760928242</v>
      </c>
      <c r="H227" s="402">
        <f t="shared" si="138"/>
        <v>43767.477814195037</v>
      </c>
      <c r="I227" s="14">
        <f t="shared" si="138"/>
        <v>52894.457909089891</v>
      </c>
      <c r="J227" s="14">
        <f t="shared" si="138"/>
        <v>61867.819312786596</v>
      </c>
      <c r="K227" s="14">
        <f t="shared" si="138"/>
        <v>70908.007887597763</v>
      </c>
      <c r="L227" s="14">
        <f t="shared" si="138"/>
        <v>79810.165755982831</v>
      </c>
      <c r="M227" s="14">
        <f t="shared" si="138"/>
        <v>88482.256491848573</v>
      </c>
      <c r="N227" s="187">
        <f t="shared" si="138"/>
        <v>96917.664274674302</v>
      </c>
      <c r="O227" s="14">
        <f t="shared" si="138"/>
        <v>105119.96480857425</v>
      </c>
      <c r="P227" s="14">
        <f t="shared" si="138"/>
        <v>113214.43234153661</v>
      </c>
      <c r="Q227" s="14">
        <f t="shared" si="138"/>
        <v>121293.71649950475</v>
      </c>
      <c r="R227" s="14">
        <f t="shared" si="138"/>
        <v>129351.92432681576</v>
      </c>
      <c r="S227" s="14">
        <f t="shared" si="138"/>
        <v>137394.72442437179</v>
      </c>
      <c r="T227" s="14">
        <f t="shared" si="138"/>
        <v>145397.5472781015</v>
      </c>
      <c r="U227" s="14">
        <f t="shared" si="138"/>
        <v>153370.87364989388</v>
      </c>
      <c r="V227" s="14">
        <f t="shared" si="138"/>
        <v>161313.46656506139</v>
      </c>
      <c r="W227" s="14">
        <f t="shared" si="138"/>
        <v>169231.22403223583</v>
      </c>
      <c r="X227" s="187">
        <f t="shared" si="138"/>
        <v>177122.19949299248</v>
      </c>
      <c r="Y227" s="158">
        <f t="shared" ref="Y227:AH227" si="139">X227+Y219</f>
        <v>184975.69452397569</v>
      </c>
      <c r="Z227" s="158">
        <f t="shared" si="139"/>
        <v>192777.96776229233</v>
      </c>
      <c r="AA227" s="158">
        <f t="shared" si="139"/>
        <v>200543.91098828058</v>
      </c>
      <c r="AB227" s="158">
        <f t="shared" si="139"/>
        <v>208276.92725443273</v>
      </c>
      <c r="AC227" s="158">
        <f t="shared" si="139"/>
        <v>215977.31050143004</v>
      </c>
      <c r="AD227" s="158">
        <f t="shared" si="139"/>
        <v>223710.07239896731</v>
      </c>
      <c r="AE227" s="158">
        <f t="shared" si="139"/>
        <v>231480.72773426765</v>
      </c>
      <c r="AF227" s="158">
        <f t="shared" si="139"/>
        <v>239233.10068983966</v>
      </c>
      <c r="AG227" s="158">
        <f t="shared" si="139"/>
        <v>246956.24503278802</v>
      </c>
      <c r="AH227" s="187">
        <f t="shared" si="139"/>
        <v>254653.50986023631</v>
      </c>
    </row>
    <row r="228" spans="1:34">
      <c r="A228" s="1" t="s">
        <v>457</v>
      </c>
      <c r="D228" s="331">
        <f t="shared" ref="D228:AH228" si="140">D227-D207</f>
        <v>6.8624501534104638</v>
      </c>
      <c r="E228" s="331">
        <f t="shared" si="140"/>
        <v>26.853115394689667</v>
      </c>
      <c r="F228" s="331">
        <f t="shared" si="140"/>
        <v>32.26363857746037</v>
      </c>
      <c r="G228" s="331">
        <f t="shared" si="140"/>
        <v>15.85527646245464</v>
      </c>
      <c r="H228" s="402">
        <f>H227-H207</f>
        <v>15.640006462461315</v>
      </c>
      <c r="I228" s="14">
        <f t="shared" si="140"/>
        <v>-132.23426250358898</v>
      </c>
      <c r="J228" s="14">
        <f t="shared" si="140"/>
        <v>-384.15705519769108</v>
      </c>
      <c r="K228" s="14">
        <f t="shared" si="140"/>
        <v>-843.61336957786989</v>
      </c>
      <c r="L228" s="14">
        <f t="shared" si="140"/>
        <v>-1507.0689075390692</v>
      </c>
      <c r="M228" s="14">
        <f t="shared" si="140"/>
        <v>-2384.4904119376151</v>
      </c>
      <c r="N228" s="187">
        <f t="shared" si="140"/>
        <v>-3507.7840742482949</v>
      </c>
      <c r="O228" s="14">
        <f t="shared" si="140"/>
        <v>-4593.5957438251207</v>
      </c>
      <c r="P228" s="14">
        <f t="shared" si="140"/>
        <v>-5676.8543622453581</v>
      </c>
      <c r="Q228" s="14">
        <f t="shared" si="140"/>
        <v>-6784.3975927963911</v>
      </c>
      <c r="R228" s="14">
        <f t="shared" si="140"/>
        <v>-7914.6015061952057</v>
      </c>
      <c r="S228" s="14">
        <f t="shared" si="140"/>
        <v>-9068.3152340770175</v>
      </c>
      <c r="T228" s="14">
        <f t="shared" si="140"/>
        <v>-10237.958523618901</v>
      </c>
      <c r="U228" s="14">
        <f t="shared" si="140"/>
        <v>-11426.902133339347</v>
      </c>
      <c r="V228" s="14">
        <f t="shared" si="140"/>
        <v>-12635.848665937752</v>
      </c>
      <c r="W228" s="14">
        <f t="shared" si="140"/>
        <v>-13866.1620637218</v>
      </c>
      <c r="X228" s="187">
        <f t="shared" si="140"/>
        <v>-15117.581827997172</v>
      </c>
      <c r="Y228" s="158">
        <f t="shared" si="140"/>
        <v>-16395.299126758357</v>
      </c>
      <c r="Z228" s="158">
        <f t="shared" si="140"/>
        <v>-17695.609629331302</v>
      </c>
      <c r="AA228" s="158">
        <f t="shared" si="140"/>
        <v>-19023.587066969107</v>
      </c>
      <c r="AB228" s="158">
        <f t="shared" si="140"/>
        <v>-20375.45570053329</v>
      </c>
      <c r="AC228" s="158">
        <f t="shared" si="140"/>
        <v>-21753.652048324118</v>
      </c>
      <c r="AD228" s="158">
        <f t="shared" si="140"/>
        <v>-23093.361971397098</v>
      </c>
      <c r="AE228" s="158">
        <f t="shared" si="140"/>
        <v>-24383.682521134033</v>
      </c>
      <c r="AF228" s="158">
        <f t="shared" si="140"/>
        <v>-25683.776514142257</v>
      </c>
      <c r="AG228" s="158">
        <f t="shared" si="140"/>
        <v>-27008.490847877983</v>
      </c>
      <c r="AH228" s="187">
        <f t="shared" si="140"/>
        <v>-28352.706802365952</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4.8534524762544606E-4</v>
      </c>
      <c r="E234" s="331">
        <f t="shared" si="145"/>
        <v>1.0802400963711989E-3</v>
      </c>
      <c r="F234" s="331">
        <f t="shared" si="145"/>
        <v>1.9173219011463516E-3</v>
      </c>
      <c r="G234" s="331">
        <f t="shared" si="145"/>
        <v>2.2236327231439645E-3</v>
      </c>
      <c r="H234" s="402">
        <f>H213-H194</f>
        <v>-2.7000000000043656E-4</v>
      </c>
      <c r="I234" s="14">
        <f t="shared" si="145"/>
        <v>214.60003455164838</v>
      </c>
      <c r="J234" s="14">
        <f t="shared" si="145"/>
        <v>383.00900302857303</v>
      </c>
      <c r="K234" s="14">
        <f t="shared" si="145"/>
        <v>702.49466877474174</v>
      </c>
      <c r="L234" s="14">
        <f t="shared" si="145"/>
        <v>1017.5232740022702</v>
      </c>
      <c r="M234" s="14">
        <f t="shared" si="145"/>
        <v>1351.3127322401474</v>
      </c>
      <c r="N234" s="187">
        <f t="shared" si="145"/>
        <v>1733.7562549916815</v>
      </c>
      <c r="O234" s="14">
        <f t="shared" si="145"/>
        <v>1682.4816902175612</v>
      </c>
      <c r="P234" s="14">
        <f t="shared" si="145"/>
        <v>1679.6732256810742</v>
      </c>
      <c r="Q234" s="14">
        <f t="shared" si="145"/>
        <v>1715.2887187110564</v>
      </c>
      <c r="R234" s="14">
        <f t="shared" si="145"/>
        <v>1748.5819931577921</v>
      </c>
      <c r="S234" s="14">
        <f t="shared" si="145"/>
        <v>1782.9883007773685</v>
      </c>
      <c r="T234" s="14">
        <f t="shared" si="145"/>
        <v>1806.5066979727226</v>
      </c>
      <c r="U234" s="14">
        <f t="shared" si="145"/>
        <v>1834.8767652245429</v>
      </c>
      <c r="V234" s="14">
        <f t="shared" si="145"/>
        <v>1864.3714927898591</v>
      </c>
      <c r="W234" s="14">
        <f t="shared" si="145"/>
        <v>1897.4886838501452</v>
      </c>
      <c r="X234" s="187">
        <f t="shared" si="145"/>
        <v>1928.5415838598967</v>
      </c>
      <c r="Y234" s="158">
        <f t="shared" si="145"/>
        <v>1969.724427508693</v>
      </c>
      <c r="Z234" s="158">
        <f t="shared" si="145"/>
        <v>2005.2813363354944</v>
      </c>
      <c r="AA234" s="158">
        <f t="shared" si="145"/>
        <v>2048.1424330309528</v>
      </c>
      <c r="AB234" s="158">
        <f t="shared" si="145"/>
        <v>2085.0343589933718</v>
      </c>
      <c r="AC234" s="158">
        <f t="shared" si="145"/>
        <v>2126.2173974383704</v>
      </c>
      <c r="AD234" s="158">
        <f t="shared" si="145"/>
        <v>2064.3445142196379</v>
      </c>
      <c r="AE234" s="158">
        <f t="shared" si="145"/>
        <v>1985.3940659250197</v>
      </c>
      <c r="AF234" s="158">
        <f t="shared" si="145"/>
        <v>1999.8662026144953</v>
      </c>
      <c r="AG234" s="158">
        <f t="shared" si="145"/>
        <v>2038.98839120192</v>
      </c>
      <c r="AH234" s="187">
        <f t="shared" si="145"/>
        <v>2068.7616749310782</v>
      </c>
    </row>
    <row r="235" spans="1:34">
      <c r="A235" t="s">
        <v>418</v>
      </c>
      <c r="C235" s="331">
        <f t="shared" ref="C235:AH235" si="146">C214-C195</f>
        <v>0</v>
      </c>
      <c r="D235" s="331">
        <f t="shared" si="146"/>
        <v>4.1963624869367777E-4</v>
      </c>
      <c r="E235" s="331">
        <f t="shared" si="146"/>
        <v>7.501333868731308E-4</v>
      </c>
      <c r="F235" s="331">
        <f t="shared" si="146"/>
        <v>1.2151788339451741E-3</v>
      </c>
      <c r="G235" s="331">
        <f t="shared" si="146"/>
        <v>1.3853515127948413E-3</v>
      </c>
      <c r="H235" s="402">
        <f t="shared" si="146"/>
        <v>0</v>
      </c>
      <c r="I235" s="14">
        <f t="shared" si="146"/>
        <v>112.9475555354918</v>
      </c>
      <c r="J235" s="14">
        <f t="shared" si="146"/>
        <v>201.58387236287774</v>
      </c>
      <c r="K235" s="14">
        <f t="shared" si="146"/>
        <v>369.73424759528098</v>
      </c>
      <c r="L235" s="14">
        <f t="shared" si="146"/>
        <v>535.53880019374344</v>
      </c>
      <c r="M235" s="14">
        <f t="shared" si="146"/>
        <v>711.2174866673721</v>
      </c>
      <c r="N235" s="187">
        <f t="shared" si="146"/>
        <v>912.50357867120624</v>
      </c>
      <c r="O235" s="14">
        <f t="shared" si="146"/>
        <v>885.51696135883469</v>
      </c>
      <c r="P235" s="14">
        <f t="shared" si="146"/>
        <v>884.03882194141829</v>
      </c>
      <c r="Q235" s="14">
        <f t="shared" si="146"/>
        <v>902.78382120950835</v>
      </c>
      <c r="R235" s="14">
        <f t="shared" si="146"/>
        <v>920.30660000586761</v>
      </c>
      <c r="S235" s="14">
        <f t="shared" si="146"/>
        <v>938.41518596776621</v>
      </c>
      <c r="T235" s="14">
        <f t="shared" si="146"/>
        <v>950.79329192904629</v>
      </c>
      <c r="U235" s="14">
        <f t="shared" si="146"/>
        <v>965.72490884043555</v>
      </c>
      <c r="V235" s="14">
        <f t="shared" si="146"/>
        <v>981.24845221661064</v>
      </c>
      <c r="W235" s="14">
        <f t="shared" si="146"/>
        <v>998.6785555714564</v>
      </c>
      <c r="X235" s="187">
        <f t="shared" si="146"/>
        <v>1015.0221899137564</v>
      </c>
      <c r="Y235" s="158">
        <f t="shared" si="146"/>
        <v>1036.6973744203315</v>
      </c>
      <c r="Z235" s="158">
        <f t="shared" si="146"/>
        <v>1055.4115401282875</v>
      </c>
      <c r="AA235" s="158">
        <f t="shared" si="146"/>
        <v>1077.9700158620917</v>
      </c>
      <c r="AB235" s="158">
        <f t="shared" si="146"/>
        <v>1097.3868229844468</v>
      </c>
      <c r="AC235" s="158">
        <f t="shared" si="146"/>
        <v>1119.0621104390711</v>
      </c>
      <c r="AD235" s="158">
        <f t="shared" si="146"/>
        <v>1086.4974418603551</v>
      </c>
      <c r="AE235" s="158">
        <f t="shared" si="146"/>
        <v>1044.9445815272504</v>
      </c>
      <c r="AF235" s="158">
        <f t="shared" si="146"/>
        <v>1052.561500553157</v>
      </c>
      <c r="AG235" s="158">
        <f t="shared" si="146"/>
        <v>1073.152130728346</v>
      </c>
      <c r="AH235" s="187">
        <f t="shared" si="146"/>
        <v>1088.8222848923838</v>
      </c>
    </row>
    <row r="236" spans="1:34">
      <c r="A236" t="s">
        <v>419</v>
      </c>
      <c r="C236" s="331">
        <f t="shared" ref="C236:AH236" si="147">C215-C196</f>
        <v>-2.7000000000043656E-4</v>
      </c>
      <c r="D236" s="331">
        <f t="shared" si="147"/>
        <v>6.5708998931768292E-5</v>
      </c>
      <c r="E236" s="331">
        <f t="shared" si="147"/>
        <v>3.3010670961175492E-4</v>
      </c>
      <c r="F236" s="331">
        <f t="shared" si="147"/>
        <v>7.0214306708749064E-4</v>
      </c>
      <c r="G236" s="331">
        <f t="shared" si="147"/>
        <v>8.3828121023543645E-4</v>
      </c>
      <c r="H236" s="402">
        <f>H215-H196</f>
        <v>-2.7000000000043656E-4</v>
      </c>
      <c r="I236" s="14">
        <f t="shared" si="147"/>
        <v>101.65247901615658</v>
      </c>
      <c r="J236" s="14">
        <f t="shared" si="147"/>
        <v>181.42513066569541</v>
      </c>
      <c r="K236" s="14">
        <f t="shared" si="147"/>
        <v>332.76042117946076</v>
      </c>
      <c r="L236" s="14">
        <f t="shared" si="147"/>
        <v>481.9844738085269</v>
      </c>
      <c r="M236" s="14">
        <f t="shared" si="147"/>
        <v>640.09524557277518</v>
      </c>
      <c r="N236" s="187">
        <f t="shared" si="147"/>
        <v>821.25267632047542</v>
      </c>
      <c r="O236" s="14">
        <f t="shared" si="147"/>
        <v>796.96472885872674</v>
      </c>
      <c r="P236" s="14">
        <f t="shared" si="147"/>
        <v>795.6344037396558</v>
      </c>
      <c r="Q236" s="14">
        <f t="shared" si="147"/>
        <v>812.50489750154782</v>
      </c>
      <c r="R236" s="14">
        <f t="shared" si="147"/>
        <v>828.27539315192439</v>
      </c>
      <c r="S236" s="14">
        <f t="shared" si="147"/>
        <v>844.57311480960232</v>
      </c>
      <c r="T236" s="14">
        <f t="shared" si="147"/>
        <v>855.7134060436764</v>
      </c>
      <c r="U236" s="14">
        <f t="shared" si="147"/>
        <v>869.15185638410719</v>
      </c>
      <c r="V236" s="14">
        <f t="shared" si="147"/>
        <v>883.12304057324809</v>
      </c>
      <c r="W236" s="14">
        <f t="shared" si="147"/>
        <v>898.81012827868892</v>
      </c>
      <c r="X236" s="187">
        <f t="shared" si="147"/>
        <v>913.51939394614033</v>
      </c>
      <c r="Y236" s="158">
        <f t="shared" si="147"/>
        <v>933.02705308836119</v>
      </c>
      <c r="Z236" s="158">
        <f t="shared" si="147"/>
        <v>949.86979620720729</v>
      </c>
      <c r="AA236" s="158">
        <f t="shared" si="147"/>
        <v>970.17241716886133</v>
      </c>
      <c r="AB236" s="158">
        <f t="shared" si="147"/>
        <v>987.64753600892493</v>
      </c>
      <c r="AC236" s="158">
        <f t="shared" si="147"/>
        <v>1007.1552869992994</v>
      </c>
      <c r="AD236" s="158">
        <f t="shared" si="147"/>
        <v>977.84707235928272</v>
      </c>
      <c r="AE236" s="158">
        <f t="shared" si="147"/>
        <v>940.44948439776942</v>
      </c>
      <c r="AF236" s="158">
        <f t="shared" si="147"/>
        <v>947.30470206133839</v>
      </c>
      <c r="AG236" s="158">
        <f t="shared" si="147"/>
        <v>965.83626047357347</v>
      </c>
      <c r="AH236" s="187">
        <f t="shared" si="147"/>
        <v>979.93939003869446</v>
      </c>
    </row>
    <row r="237" spans="1:34">
      <c r="A237" t="s">
        <v>420</v>
      </c>
      <c r="C237" s="331">
        <f t="shared" ref="C237:AH237" si="148">C216-C197</f>
        <v>0</v>
      </c>
      <c r="D237" s="331">
        <f t="shared" si="148"/>
        <v>-9.3583295222034053</v>
      </c>
      <c r="E237" s="331">
        <f t="shared" si="148"/>
        <v>-27.269339863753203</v>
      </c>
      <c r="F237" s="331">
        <f t="shared" si="148"/>
        <v>-7.3878188470938539</v>
      </c>
      <c r="G237" s="331">
        <f t="shared" si="148"/>
        <v>22.365026932251965</v>
      </c>
      <c r="H237" s="402">
        <f t="shared" si="148"/>
        <v>0</v>
      </c>
      <c r="I237" s="14">
        <f t="shared" si="148"/>
        <v>11.719527919016798</v>
      </c>
      <c r="J237" s="14">
        <f t="shared" si="148"/>
        <v>4.7256461051372867</v>
      </c>
      <c r="K237" s="14">
        <f t="shared" si="148"/>
        <v>5.5459007036001537</v>
      </c>
      <c r="L237" s="14">
        <f t="shared" si="148"/>
        <v>5.4791951752281989</v>
      </c>
      <c r="M237" s="14">
        <f t="shared" si="148"/>
        <v>2.4500849043402013</v>
      </c>
      <c r="N237" s="187">
        <f t="shared" si="148"/>
        <v>0</v>
      </c>
      <c r="O237" s="14">
        <f t="shared" si="148"/>
        <v>-6.1553450841794586</v>
      </c>
      <c r="P237" s="14">
        <f t="shared" si="148"/>
        <v>-7.4438550932225098</v>
      </c>
      <c r="Q237" s="14">
        <f t="shared" si="148"/>
        <v>-6.038520892921639</v>
      </c>
      <c r="R237" s="14">
        <f t="shared" si="148"/>
        <v>-4.7986583261694022</v>
      </c>
      <c r="S237" s="14">
        <f t="shared" si="148"/>
        <v>-3.3829243009558354</v>
      </c>
      <c r="T237" s="14">
        <f t="shared" si="148"/>
        <v>-2.6970886378609578</v>
      </c>
      <c r="U237" s="14">
        <f t="shared" si="148"/>
        <v>-1.6955619402520483</v>
      </c>
      <c r="V237" s="14">
        <f t="shared" si="148"/>
        <v>-0.72823555380486482</v>
      </c>
      <c r="W237" s="14">
        <f t="shared" si="148"/>
        <v>-1.0971997070108159</v>
      </c>
      <c r="X237" s="187">
        <f t="shared" si="148"/>
        <v>0</v>
      </c>
      <c r="Y237" s="158">
        <f t="shared" si="148"/>
        <v>-0.76194693607442332</v>
      </c>
      <c r="Z237" s="158">
        <f t="shared" si="148"/>
        <v>-1.6112782640020953</v>
      </c>
      <c r="AA237" s="158">
        <f t="shared" si="148"/>
        <v>-1.9866316209600541</v>
      </c>
      <c r="AB237" s="158">
        <f t="shared" si="148"/>
        <v>-2.2437781799039271</v>
      </c>
      <c r="AC237" s="158">
        <f t="shared" si="148"/>
        <v>-2.9646670944772779</v>
      </c>
      <c r="AD237" s="158">
        <f t="shared" si="148"/>
        <v>-1.1363164101406369</v>
      </c>
      <c r="AE237" s="158">
        <f t="shared" si="148"/>
        <v>0.89286434699494066</v>
      </c>
      <c r="AF237" s="158">
        <f t="shared" si="148"/>
        <v>1.1665678471344449</v>
      </c>
      <c r="AG237" s="158">
        <f t="shared" si="148"/>
        <v>-6.4069922465364471E-2</v>
      </c>
      <c r="AH237" s="187">
        <f t="shared" si="148"/>
        <v>0</v>
      </c>
    </row>
    <row r="238" spans="1:34">
      <c r="A238" t="s">
        <v>421</v>
      </c>
      <c r="C238" s="331">
        <f t="shared" ref="C238:AH238" si="149">C217-C198</f>
        <v>0</v>
      </c>
      <c r="D238" s="331">
        <f t="shared" si="149"/>
        <v>-4.9254365906333817</v>
      </c>
      <c r="E238" s="331">
        <f t="shared" si="149"/>
        <v>-14.352284138817481</v>
      </c>
      <c r="F238" s="331">
        <f t="shared" si="149"/>
        <v>-3.8883257089967742</v>
      </c>
      <c r="G238" s="331">
        <f t="shared" si="149"/>
        <v>11.771066806448403</v>
      </c>
      <c r="H238" s="402">
        <f t="shared" si="149"/>
        <v>0</v>
      </c>
      <c r="I238" s="14">
        <f t="shared" si="149"/>
        <v>6.168172588956196</v>
      </c>
      <c r="J238" s="14">
        <f t="shared" si="149"/>
        <v>2.4871821605985929</v>
      </c>
      <c r="K238" s="14">
        <f t="shared" si="149"/>
        <v>2.9188951071579652</v>
      </c>
      <c r="L238" s="14">
        <f t="shared" si="149"/>
        <v>2.8837869343306295</v>
      </c>
      <c r="M238" s="14">
        <f t="shared" si="149"/>
        <v>1.2895183707053661</v>
      </c>
      <c r="N238" s="187">
        <f t="shared" si="149"/>
        <v>0</v>
      </c>
      <c r="O238" s="14">
        <f t="shared" si="149"/>
        <v>-3.2396553074628684</v>
      </c>
      <c r="P238" s="14">
        <f t="shared" si="149"/>
        <v>-3.9178184701171119</v>
      </c>
      <c r="Q238" s="14">
        <f t="shared" si="149"/>
        <v>-3.1781688910113814</v>
      </c>
      <c r="R238" s="14">
        <f t="shared" si="149"/>
        <v>-2.5256096453523185</v>
      </c>
      <c r="S238" s="14">
        <f t="shared" si="149"/>
        <v>-1.7804864741872848</v>
      </c>
      <c r="T238" s="14">
        <f t="shared" si="149"/>
        <v>-1.4195203357162995</v>
      </c>
      <c r="U238" s="14">
        <f t="shared" si="149"/>
        <v>-0.89240102118529308</v>
      </c>
      <c r="V238" s="14">
        <f t="shared" si="149"/>
        <v>-0.38328187042361606</v>
      </c>
      <c r="W238" s="14">
        <f t="shared" si="149"/>
        <v>-0.57747353000570456</v>
      </c>
      <c r="X238" s="187">
        <f t="shared" si="149"/>
        <v>0</v>
      </c>
      <c r="Y238" s="158">
        <f t="shared" si="149"/>
        <v>-0.4010247031970664</v>
      </c>
      <c r="Z238" s="158">
        <f t="shared" si="149"/>
        <v>-0.84804119158005165</v>
      </c>
      <c r="AA238" s="158">
        <f t="shared" si="149"/>
        <v>-1.0455955899789728</v>
      </c>
      <c r="AB238" s="158">
        <f t="shared" si="149"/>
        <v>-1.1809358841599646</v>
      </c>
      <c r="AC238" s="158">
        <f t="shared" si="149"/>
        <v>-1.5603511023564636</v>
      </c>
      <c r="AD238" s="158">
        <f t="shared" si="149"/>
        <v>-0.59806126849505858</v>
      </c>
      <c r="AE238" s="158">
        <f t="shared" si="149"/>
        <v>0.4699286036815522</v>
      </c>
      <c r="AF238" s="158">
        <f t="shared" si="149"/>
        <v>0.61398307743917258</v>
      </c>
      <c r="AG238" s="158">
        <f t="shared" si="149"/>
        <v>-3.3721011823871549E-2</v>
      </c>
      <c r="AH238" s="187">
        <f t="shared" si="149"/>
        <v>0</v>
      </c>
    </row>
    <row r="239" spans="1:34">
      <c r="A239" t="s">
        <v>422</v>
      </c>
      <c r="C239" s="331">
        <f t="shared" ref="C239:AH239" si="150">C218-C199</f>
        <v>0</v>
      </c>
      <c r="D239" s="331">
        <f t="shared" si="150"/>
        <v>-4.432892931570052</v>
      </c>
      <c r="E239" s="331">
        <f t="shared" si="150"/>
        <v>-12.917055724935722</v>
      </c>
      <c r="F239" s="331">
        <f t="shared" si="150"/>
        <v>-3.4994931380970797</v>
      </c>
      <c r="G239" s="331">
        <f t="shared" si="150"/>
        <v>10.593960125803562</v>
      </c>
      <c r="H239" s="402">
        <f t="shared" si="150"/>
        <v>0</v>
      </c>
      <c r="I239" s="14">
        <f t="shared" si="150"/>
        <v>5.5513553300605736</v>
      </c>
      <c r="J239" s="14">
        <f t="shared" si="150"/>
        <v>2.2384639445387222</v>
      </c>
      <c r="K239" s="14">
        <f t="shared" si="150"/>
        <v>2.6270055964421601</v>
      </c>
      <c r="L239" s="14">
        <f t="shared" si="150"/>
        <v>2.5954082408975694</v>
      </c>
      <c r="M239" s="14">
        <f t="shared" si="150"/>
        <v>1.1605665336348352</v>
      </c>
      <c r="N239" s="187">
        <f t="shared" si="150"/>
        <v>0</v>
      </c>
      <c r="O239" s="14">
        <f t="shared" si="150"/>
        <v>-2.9156897767165759</v>
      </c>
      <c r="P239" s="14">
        <f t="shared" si="150"/>
        <v>-3.5260366231053979</v>
      </c>
      <c r="Q239" s="14">
        <f t="shared" si="150"/>
        <v>-2.8603520019102433</v>
      </c>
      <c r="R239" s="14">
        <f t="shared" si="150"/>
        <v>-2.2730486808170838</v>
      </c>
      <c r="S239" s="14">
        <f t="shared" si="150"/>
        <v>-1.6024378267685506</v>
      </c>
      <c r="T239" s="14">
        <f t="shared" si="150"/>
        <v>-1.2775683021446724</v>
      </c>
      <c r="U239" s="14">
        <f t="shared" si="150"/>
        <v>-0.80316091906676945</v>
      </c>
      <c r="V239" s="14">
        <f t="shared" si="150"/>
        <v>-0.34495368338126298</v>
      </c>
      <c r="W239" s="14">
        <f t="shared" si="150"/>
        <v>-0.51972617700512558</v>
      </c>
      <c r="X239" s="187">
        <f t="shared" si="150"/>
        <v>0</v>
      </c>
      <c r="Y239" s="158">
        <f t="shared" si="150"/>
        <v>-0.36092223287737113</v>
      </c>
      <c r="Z239" s="158">
        <f t="shared" si="150"/>
        <v>-0.76323707242204364</v>
      </c>
      <c r="AA239" s="158">
        <f t="shared" si="150"/>
        <v>-0.94103603098108124</v>
      </c>
      <c r="AB239" s="158">
        <f t="shared" si="150"/>
        <v>-1.0628422957439767</v>
      </c>
      <c r="AC239" s="158">
        <f t="shared" si="150"/>
        <v>-1.4043159921208144</v>
      </c>
      <c r="AD239" s="158">
        <f t="shared" si="150"/>
        <v>-0.53825514164554988</v>
      </c>
      <c r="AE239" s="158">
        <f t="shared" si="150"/>
        <v>0.42293574331338846</v>
      </c>
      <c r="AF239" s="158">
        <f t="shared" si="150"/>
        <v>0.55258476969525816</v>
      </c>
      <c r="AG239" s="158">
        <f t="shared" si="150"/>
        <v>-3.034891064147871E-2</v>
      </c>
      <c r="AH239" s="187">
        <f t="shared" si="150"/>
        <v>0</v>
      </c>
    </row>
    <row r="240" spans="1:34">
      <c r="A240" t="s">
        <v>394</v>
      </c>
      <c r="C240" s="331">
        <f>C219-C200</f>
        <v>0</v>
      </c>
      <c r="D240" s="331">
        <f t="shared" ref="D240:AH240" si="151">D219-D200+D249+D252</f>
        <v>6.8624501534104638</v>
      </c>
      <c r="E240" s="331">
        <f t="shared" si="151"/>
        <v>19.990665241279203</v>
      </c>
      <c r="F240" s="331">
        <f t="shared" si="151"/>
        <v>5.410523182772522</v>
      </c>
      <c r="G240" s="331">
        <f t="shared" si="151"/>
        <v>-16.408362115007549</v>
      </c>
      <c r="H240" s="402">
        <f t="shared" si="151"/>
        <v>-0.21526999999878171</v>
      </c>
      <c r="I240" s="14">
        <f t="shared" si="151"/>
        <v>-147.87426896604484</v>
      </c>
      <c r="J240" s="14">
        <f t="shared" si="151"/>
        <v>-251.92279269410574</v>
      </c>
      <c r="K240" s="14">
        <f t="shared" si="151"/>
        <v>-459.45631438018063</v>
      </c>
      <c r="L240" s="14">
        <f t="shared" si="151"/>
        <v>-663.45553796119384</v>
      </c>
      <c r="M240" s="14">
        <f t="shared" si="151"/>
        <v>-877.42150439853685</v>
      </c>
      <c r="N240" s="187">
        <f t="shared" si="151"/>
        <v>-1123.2936623106743</v>
      </c>
      <c r="O240" s="14">
        <f t="shared" si="151"/>
        <v>-1085.8116695768331</v>
      </c>
      <c r="P240" s="14">
        <f t="shared" si="151"/>
        <v>-1083.258618420241</v>
      </c>
      <c r="Q240" s="14">
        <f t="shared" si="151"/>
        <v>-1107.5432305510458</v>
      </c>
      <c r="R240" s="14">
        <f t="shared" si="151"/>
        <v>-1130.2039133988192</v>
      </c>
      <c r="S240" s="14">
        <f t="shared" si="151"/>
        <v>-1153.7137278818209</v>
      </c>
      <c r="T240" s="14">
        <f t="shared" si="151"/>
        <v>-1169.6432895418775</v>
      </c>
      <c r="U240" s="14">
        <f t="shared" si="151"/>
        <v>-1188.9436097204498</v>
      </c>
      <c r="V240" s="14">
        <f t="shared" si="151"/>
        <v>-1208.9465325984147</v>
      </c>
      <c r="W240" s="14">
        <f t="shared" si="151"/>
        <v>-1230.3133977840571</v>
      </c>
      <c r="X240" s="187">
        <f t="shared" si="151"/>
        <v>-1251.4197642753752</v>
      </c>
      <c r="Y240" s="158">
        <f t="shared" si="151"/>
        <v>-1277.7172987611902</v>
      </c>
      <c r="Z240" s="158">
        <f t="shared" si="151"/>
        <v>-1300.310502572931</v>
      </c>
      <c r="AA240" s="158">
        <f t="shared" si="151"/>
        <v>-1327.9774376378327</v>
      </c>
      <c r="AB240" s="158">
        <f t="shared" si="151"/>
        <v>-1351.8686335641924</v>
      </c>
      <c r="AC240" s="158">
        <f t="shared" si="151"/>
        <v>-1378.1963477908157</v>
      </c>
      <c r="AD240" s="158">
        <f t="shared" si="151"/>
        <v>-1339.7099230729764</v>
      </c>
      <c r="AE240" s="158">
        <f t="shared" si="151"/>
        <v>-1290.3205497369472</v>
      </c>
      <c r="AF240" s="158">
        <f t="shared" si="151"/>
        <v>-1300.0939930082241</v>
      </c>
      <c r="AG240" s="158">
        <f t="shared" si="151"/>
        <v>-1324.7143337357411</v>
      </c>
      <c r="AH240" s="187">
        <f t="shared" si="151"/>
        <v>-1344.2159544879923</v>
      </c>
    </row>
    <row r="241" spans="1:34">
      <c r="A241" t="s">
        <v>423</v>
      </c>
      <c r="C241" s="331">
        <f>C220-C201</f>
        <v>0</v>
      </c>
      <c r="D241" s="331">
        <f t="shared" ref="D241:AH241" si="152">D220-D201+D250+D253</f>
        <v>3.6118158702165601</v>
      </c>
      <c r="E241" s="331">
        <f t="shared" si="152"/>
        <v>10.521402758568001</v>
      </c>
      <c r="F241" s="331">
        <f t="shared" si="152"/>
        <v>2.8476437804074521</v>
      </c>
      <c r="G241" s="331">
        <f t="shared" si="152"/>
        <v>-8.6359800605305281</v>
      </c>
      <c r="H241" s="402">
        <f t="shared" si="152"/>
        <v>-0.11329999999907159</v>
      </c>
      <c r="I241" s="14">
        <f t="shared" si="152"/>
        <v>-77.828562613707618</v>
      </c>
      <c r="J241" s="14">
        <f t="shared" si="152"/>
        <v>-132.59094352321245</v>
      </c>
      <c r="K241" s="14">
        <f t="shared" si="152"/>
        <v>-241.81911283167483</v>
      </c>
      <c r="L241" s="14">
        <f t="shared" si="152"/>
        <v>-349.18712524273269</v>
      </c>
      <c r="M241" s="14">
        <f t="shared" si="152"/>
        <v>-461.80079178870346</v>
      </c>
      <c r="N241" s="187">
        <f t="shared" si="152"/>
        <v>-591.20719068982817</v>
      </c>
      <c r="O241" s="14">
        <f t="shared" si="152"/>
        <v>-571.47982609306928</v>
      </c>
      <c r="P241" s="14">
        <f t="shared" si="152"/>
        <v>-570.13611495802252</v>
      </c>
      <c r="Q241" s="14">
        <f t="shared" si="152"/>
        <v>-582.91748976370855</v>
      </c>
      <c r="R241" s="14">
        <f t="shared" si="152"/>
        <v>-594.84416494674679</v>
      </c>
      <c r="S241" s="14">
        <f t="shared" si="152"/>
        <v>-607.21775151674774</v>
      </c>
      <c r="T241" s="14">
        <f t="shared" si="152"/>
        <v>-615.60173133782973</v>
      </c>
      <c r="U241" s="14">
        <f t="shared" si="152"/>
        <v>-625.75979458971142</v>
      </c>
      <c r="V241" s="14">
        <f t="shared" si="152"/>
        <v>-636.28764873600812</v>
      </c>
      <c r="W241" s="14">
        <f t="shared" si="152"/>
        <v>-647.53336725476674</v>
      </c>
      <c r="X241" s="187">
        <f t="shared" si="152"/>
        <v>-658.64198119756566</v>
      </c>
      <c r="Y241" s="158">
        <f t="shared" si="152"/>
        <v>-672.4827888216787</v>
      </c>
      <c r="Z241" s="158">
        <f t="shared" si="152"/>
        <v>-684.37394872259483</v>
      </c>
      <c r="AA241" s="158">
        <f t="shared" si="152"/>
        <v>-698.93549349359546</v>
      </c>
      <c r="AB241" s="158">
        <f t="shared" si="152"/>
        <v>-711.50980713904892</v>
      </c>
      <c r="AC241" s="158">
        <f t="shared" si="152"/>
        <v>-725.36649883727205</v>
      </c>
      <c r="AD241" s="158">
        <f t="shared" si="152"/>
        <v>-705.11048582788135</v>
      </c>
      <c r="AE241" s="158">
        <f t="shared" si="152"/>
        <v>-679.11607880892007</v>
      </c>
      <c r="AF241" s="158">
        <f t="shared" si="152"/>
        <v>-684.25999632011781</v>
      </c>
      <c r="AG241" s="158">
        <f t="shared" si="152"/>
        <v>-697.21807038723182</v>
      </c>
      <c r="AH241" s="187">
        <f t="shared" si="152"/>
        <v>-707.48208130946887</v>
      </c>
    </row>
    <row r="242" spans="1:34">
      <c r="A242" t="s">
        <v>424</v>
      </c>
      <c r="C242" s="331">
        <f>C221-C202</f>
        <v>0</v>
      </c>
      <c r="D242" s="331">
        <f t="shared" ref="D242:AH242" si="153">D221-D202+D251+D254</f>
        <v>3.2506342831939037</v>
      </c>
      <c r="E242" s="331">
        <f t="shared" si="153"/>
        <v>9.4692624827112013</v>
      </c>
      <c r="F242" s="331">
        <f t="shared" si="153"/>
        <v>2.5628794023659793</v>
      </c>
      <c r="G242" s="331">
        <f t="shared" si="153"/>
        <v>-7.7723820544774753</v>
      </c>
      <c r="H242" s="402">
        <f t="shared" si="153"/>
        <v>-0.10196999999971013</v>
      </c>
      <c r="I242" s="14">
        <f t="shared" si="153"/>
        <v>-70.04570635233631</v>
      </c>
      <c r="J242" s="14">
        <f t="shared" si="153"/>
        <v>-119.33184917089238</v>
      </c>
      <c r="K242" s="14">
        <f t="shared" si="153"/>
        <v>-217.63720154850671</v>
      </c>
      <c r="L242" s="14">
        <f t="shared" si="153"/>
        <v>-314.26841271846024</v>
      </c>
      <c r="M242" s="14">
        <f t="shared" si="153"/>
        <v>-415.6207126098343</v>
      </c>
      <c r="N242" s="187">
        <f t="shared" si="153"/>
        <v>-532.08647162084526</v>
      </c>
      <c r="O242" s="14">
        <f t="shared" si="153"/>
        <v>-514.33184348376199</v>
      </c>
      <c r="P242" s="14">
        <f t="shared" si="153"/>
        <v>-513.12250346221981</v>
      </c>
      <c r="Q242" s="14">
        <f t="shared" si="153"/>
        <v>-524.62574078733678</v>
      </c>
      <c r="R242" s="14">
        <f t="shared" si="153"/>
        <v>-535.35974845207238</v>
      </c>
      <c r="S242" s="14">
        <f t="shared" si="153"/>
        <v>-546.49597636507269</v>
      </c>
      <c r="T242" s="14">
        <f t="shared" si="153"/>
        <v>-554.04155820404685</v>
      </c>
      <c r="U242" s="14">
        <f t="shared" si="153"/>
        <v>-563.18381513073928</v>
      </c>
      <c r="V242" s="14">
        <f t="shared" si="153"/>
        <v>-572.65888386240704</v>
      </c>
      <c r="W242" s="14">
        <f t="shared" si="153"/>
        <v>-582.7800305292908</v>
      </c>
      <c r="X242" s="187">
        <f t="shared" si="153"/>
        <v>-592.77778307780954</v>
      </c>
      <c r="Y242" s="158">
        <f t="shared" si="153"/>
        <v>-605.23450993951019</v>
      </c>
      <c r="Z242" s="158">
        <f t="shared" si="153"/>
        <v>-615.93655385033571</v>
      </c>
      <c r="AA242" s="158">
        <f t="shared" si="153"/>
        <v>-629.04194414423637</v>
      </c>
      <c r="AB242" s="158">
        <f t="shared" si="153"/>
        <v>-640.35882642514343</v>
      </c>
      <c r="AC242" s="158">
        <f t="shared" si="153"/>
        <v>-652.82984895354411</v>
      </c>
      <c r="AD242" s="158">
        <f t="shared" si="153"/>
        <v>-634.59943724509367</v>
      </c>
      <c r="AE242" s="158">
        <f t="shared" si="153"/>
        <v>-611.20447092802851</v>
      </c>
      <c r="AF242" s="158">
        <f t="shared" si="153"/>
        <v>-615.83399668810625</v>
      </c>
      <c r="AG242" s="158">
        <f t="shared" si="153"/>
        <v>-627.49626334850882</v>
      </c>
      <c r="AH242" s="187">
        <f t="shared" si="153"/>
        <v>-636.73387317852303</v>
      </c>
    </row>
    <row r="243" spans="1:34" s="1" customFormat="1">
      <c r="A243" s="1" t="s">
        <v>405</v>
      </c>
      <c r="B243" s="13"/>
      <c r="C243" s="341">
        <f>C222-C203</f>
        <v>-2.699999986361945E-4</v>
      </c>
      <c r="D243" s="341">
        <f t="shared" ref="D243:AH243" si="154">D222-D203+D249+D252</f>
        <v>-2.4953940235445771</v>
      </c>
      <c r="E243" s="341">
        <f t="shared" si="154"/>
        <v>-7.2775943823780835</v>
      </c>
      <c r="F243" s="341">
        <f t="shared" si="154"/>
        <v>-1.9753783424202993</v>
      </c>
      <c r="G243" s="341">
        <f t="shared" si="154"/>
        <v>5.9588884499662527</v>
      </c>
      <c r="H243" s="405">
        <f t="shared" si="154"/>
        <v>-0.21553999999741791</v>
      </c>
      <c r="I243" s="15">
        <f t="shared" si="154"/>
        <v>78.445293504621077</v>
      </c>
      <c r="J243" s="15">
        <f t="shared" si="154"/>
        <v>135.81185643960453</v>
      </c>
      <c r="K243" s="15">
        <f t="shared" si="154"/>
        <v>248.58425509816152</v>
      </c>
      <c r="L243" s="15">
        <f t="shared" si="154"/>
        <v>359.54693121630407</v>
      </c>
      <c r="M243" s="15">
        <f t="shared" si="154"/>
        <v>476.34131274595165</v>
      </c>
      <c r="N243" s="190">
        <f t="shared" si="154"/>
        <v>610.46259268100766</v>
      </c>
      <c r="O243" s="15">
        <f t="shared" si="154"/>
        <v>590.51467555654745</v>
      </c>
      <c r="P243" s="15">
        <f t="shared" si="154"/>
        <v>588.97075216761004</v>
      </c>
      <c r="Q243" s="15">
        <f t="shared" si="154"/>
        <v>601.70696726708957</v>
      </c>
      <c r="R243" s="15">
        <f t="shared" si="154"/>
        <v>613.57942143280343</v>
      </c>
      <c r="S243" s="15">
        <f t="shared" si="154"/>
        <v>625.89164859459015</v>
      </c>
      <c r="T243" s="15">
        <f t="shared" si="154"/>
        <v>634.1663197929829</v>
      </c>
      <c r="U243" s="15">
        <f t="shared" si="154"/>
        <v>644.23759356384107</v>
      </c>
      <c r="V243" s="15">
        <f t="shared" si="154"/>
        <v>654.69672463764073</v>
      </c>
      <c r="W243" s="15">
        <f t="shared" si="154"/>
        <v>666.07808635907713</v>
      </c>
      <c r="X243" s="190">
        <f t="shared" si="154"/>
        <v>677.12181958452129</v>
      </c>
      <c r="Y243" s="130">
        <f t="shared" si="154"/>
        <v>691.24518181142776</v>
      </c>
      <c r="Z243" s="130">
        <f t="shared" si="154"/>
        <v>703.35955549856044</v>
      </c>
      <c r="AA243" s="130">
        <f t="shared" si="154"/>
        <v>718.17836377216008</v>
      </c>
      <c r="AB243" s="130">
        <f t="shared" si="154"/>
        <v>730.92194724927504</v>
      </c>
      <c r="AC243" s="130">
        <f t="shared" si="154"/>
        <v>745.05638255307713</v>
      </c>
      <c r="AD243" s="130">
        <f t="shared" si="154"/>
        <v>723.49827473652113</v>
      </c>
      <c r="AE243" s="130">
        <f t="shared" si="154"/>
        <v>695.96638053506831</v>
      </c>
      <c r="AF243" s="130">
        <f t="shared" si="154"/>
        <v>700.93877745340433</v>
      </c>
      <c r="AG243" s="130">
        <f t="shared" si="154"/>
        <v>714.20998754371431</v>
      </c>
      <c r="AH243" s="190">
        <f t="shared" si="154"/>
        <v>724.54572044308588</v>
      </c>
    </row>
    <row r="244" spans="1:34">
      <c r="A244" t="s">
        <v>445</v>
      </c>
      <c r="C244" s="331"/>
      <c r="D244" s="331">
        <f>D231+D234</f>
        <v>4.8534524762544606E-4</v>
      </c>
      <c r="E244" s="331">
        <f t="shared" ref="E244:N244" si="155">E231+E234</f>
        <v>1.0802400963711989E-3</v>
      </c>
      <c r="F244" s="331">
        <f t="shared" si="155"/>
        <v>1.9173219011463516E-3</v>
      </c>
      <c r="G244" s="331">
        <f t="shared" si="155"/>
        <v>2.2236327231439645E-3</v>
      </c>
      <c r="H244" s="402">
        <f t="shared" si="155"/>
        <v>-2.7000000000043656E-4</v>
      </c>
      <c r="I244" s="14">
        <f t="shared" si="155"/>
        <v>214.60003455164838</v>
      </c>
      <c r="J244" s="14">
        <f t="shared" si="155"/>
        <v>383.00900302857303</v>
      </c>
      <c r="K244" s="14">
        <f t="shared" si="155"/>
        <v>702.49466877474174</v>
      </c>
      <c r="L244" s="14">
        <f t="shared" si="155"/>
        <v>1017.5232740022702</v>
      </c>
      <c r="M244" s="14">
        <f t="shared" si="155"/>
        <v>1351.3127322401474</v>
      </c>
      <c r="N244" s="187">
        <f t="shared" si="155"/>
        <v>1733.7562549916815</v>
      </c>
      <c r="O244" s="14">
        <f>O231+O234</f>
        <v>1682.4816902175612</v>
      </c>
      <c r="P244" s="14">
        <f t="shared" ref="P244:AH244" si="156">P231+P234</f>
        <v>1679.6732256810742</v>
      </c>
      <c r="Q244" s="14">
        <f t="shared" si="156"/>
        <v>1715.2887187110564</v>
      </c>
      <c r="R244" s="14">
        <f t="shared" si="156"/>
        <v>1748.5819931577921</v>
      </c>
      <c r="S244" s="14">
        <f t="shared" si="156"/>
        <v>1782.9883007773685</v>
      </c>
      <c r="T244" s="14">
        <f t="shared" si="156"/>
        <v>1806.5066979727226</v>
      </c>
      <c r="U244" s="14">
        <f t="shared" si="156"/>
        <v>1834.8767652245429</v>
      </c>
      <c r="V244" s="14">
        <f t="shared" si="156"/>
        <v>1864.3714927898591</v>
      </c>
      <c r="W244" s="14">
        <f t="shared" si="156"/>
        <v>1897.4886838501452</v>
      </c>
      <c r="X244" s="187">
        <f t="shared" si="156"/>
        <v>1928.5415838598967</v>
      </c>
      <c r="Y244" s="158">
        <f t="shared" si="156"/>
        <v>1969.724427508693</v>
      </c>
      <c r="Z244" s="158">
        <f t="shared" si="156"/>
        <v>2005.2813363354944</v>
      </c>
      <c r="AA244" s="158">
        <f t="shared" si="156"/>
        <v>2048.1424330309528</v>
      </c>
      <c r="AB244" s="158">
        <f t="shared" si="156"/>
        <v>2085.0343589933718</v>
      </c>
      <c r="AC244" s="158">
        <f t="shared" si="156"/>
        <v>2126.2173974383704</v>
      </c>
      <c r="AD244" s="158">
        <f t="shared" si="156"/>
        <v>2064.3445142196379</v>
      </c>
      <c r="AE244" s="158">
        <f t="shared" si="156"/>
        <v>1985.3940659250197</v>
      </c>
      <c r="AF244" s="158">
        <f t="shared" si="156"/>
        <v>1999.8662026144953</v>
      </c>
      <c r="AG244" s="158">
        <f t="shared" si="156"/>
        <v>2038.98839120192</v>
      </c>
      <c r="AH244" s="187">
        <f t="shared" si="156"/>
        <v>2068.7616749310782</v>
      </c>
    </row>
    <row r="245" spans="1:34">
      <c r="A245" t="s">
        <v>446</v>
      </c>
      <c r="D245" s="331">
        <f>D231+D234+D237</f>
        <v>-9.3578441769557799</v>
      </c>
      <c r="E245" s="331">
        <f t="shared" ref="E245:N245" si="157">E231+E234+E237</f>
        <v>-27.268259623656832</v>
      </c>
      <c r="F245" s="331">
        <f t="shared" si="157"/>
        <v>-7.3859015251927076</v>
      </c>
      <c r="G245" s="331">
        <f t="shared" si="157"/>
        <v>22.367250564975109</v>
      </c>
      <c r="H245" s="402">
        <f t="shared" si="157"/>
        <v>-2.7000000000043656E-4</v>
      </c>
      <c r="I245" s="14">
        <f t="shared" si="157"/>
        <v>226.31956247066518</v>
      </c>
      <c r="J245" s="14">
        <f t="shared" si="157"/>
        <v>387.73464913371032</v>
      </c>
      <c r="K245" s="14">
        <f t="shared" si="157"/>
        <v>708.04056947834192</v>
      </c>
      <c r="L245" s="14">
        <f t="shared" si="157"/>
        <v>1023.0024691774984</v>
      </c>
      <c r="M245" s="14">
        <f t="shared" si="157"/>
        <v>1353.7628171444876</v>
      </c>
      <c r="N245" s="187">
        <f t="shared" si="157"/>
        <v>1733.7562549916815</v>
      </c>
      <c r="O245" s="14">
        <f>O231+O234+O237</f>
        <v>1676.3263451333817</v>
      </c>
      <c r="P245" s="14">
        <f t="shared" ref="P245:AH245" si="158">P231+P234+P237</f>
        <v>1672.2293705878517</v>
      </c>
      <c r="Q245" s="14">
        <f t="shared" si="158"/>
        <v>1709.2501978181347</v>
      </c>
      <c r="R245" s="14">
        <f t="shared" si="158"/>
        <v>1743.7833348316226</v>
      </c>
      <c r="S245" s="14">
        <f t="shared" si="158"/>
        <v>1779.6053764764126</v>
      </c>
      <c r="T245" s="14">
        <f t="shared" si="158"/>
        <v>1803.8096093348615</v>
      </c>
      <c r="U245" s="14">
        <f t="shared" si="158"/>
        <v>1833.1812032842909</v>
      </c>
      <c r="V245" s="14">
        <f t="shared" si="158"/>
        <v>1863.6432572360543</v>
      </c>
      <c r="W245" s="14">
        <f t="shared" si="158"/>
        <v>1896.3914841431344</v>
      </c>
      <c r="X245" s="187">
        <f t="shared" si="158"/>
        <v>1928.5415838598967</v>
      </c>
      <c r="Y245" s="158">
        <f t="shared" si="158"/>
        <v>1968.9624805726185</v>
      </c>
      <c r="Z245" s="158">
        <f t="shared" si="158"/>
        <v>2003.6700580714923</v>
      </c>
      <c r="AA245" s="158">
        <f t="shared" si="158"/>
        <v>2046.1558014099928</v>
      </c>
      <c r="AB245" s="158">
        <f t="shared" si="158"/>
        <v>2082.7905808134678</v>
      </c>
      <c r="AC245" s="158">
        <f t="shared" si="158"/>
        <v>2123.2527303438933</v>
      </c>
      <c r="AD245" s="158">
        <f t="shared" si="158"/>
        <v>2063.2081978094971</v>
      </c>
      <c r="AE245" s="158">
        <f t="shared" si="158"/>
        <v>1986.2869302720146</v>
      </c>
      <c r="AF245" s="158">
        <f t="shared" si="158"/>
        <v>2001.0327704616298</v>
      </c>
      <c r="AG245" s="158">
        <f t="shared" si="158"/>
        <v>2038.9243212794545</v>
      </c>
      <c r="AH245" s="187">
        <f t="shared" si="158"/>
        <v>2068.7616749310782</v>
      </c>
    </row>
    <row r="246" spans="1:34" s="1" customFormat="1">
      <c r="A246" s="1" t="s">
        <v>449</v>
      </c>
      <c r="B246" s="13"/>
      <c r="C246" s="328"/>
      <c r="D246" s="341">
        <f>D243</f>
        <v>-2.4953940235445771</v>
      </c>
      <c r="E246" s="341">
        <f>D246+E243</f>
        <v>-9.7729884059226606</v>
      </c>
      <c r="F246" s="341">
        <f>E246+F243</f>
        <v>-11.74836674834296</v>
      </c>
      <c r="G246" s="341">
        <f>F246+G243</f>
        <v>-5.7894782983767072</v>
      </c>
      <c r="H246" s="405"/>
      <c r="I246" s="15">
        <f t="shared" ref="I246:X246" si="159">H246+I243</f>
        <v>78.445293504621077</v>
      </c>
      <c r="J246" s="15">
        <f t="shared" si="159"/>
        <v>214.2571499442256</v>
      </c>
      <c r="K246" s="15">
        <f t="shared" si="159"/>
        <v>462.84140504238712</v>
      </c>
      <c r="L246" s="15">
        <f t="shared" si="159"/>
        <v>822.3883362586912</v>
      </c>
      <c r="M246" s="15">
        <f t="shared" si="159"/>
        <v>1298.7296490046429</v>
      </c>
      <c r="N246" s="190">
        <f t="shared" si="159"/>
        <v>1909.1922416856505</v>
      </c>
      <c r="O246" s="15">
        <f t="shared" si="159"/>
        <v>2499.706917242198</v>
      </c>
      <c r="P246" s="15">
        <f t="shared" si="159"/>
        <v>3088.677669409808</v>
      </c>
      <c r="Q246" s="15">
        <f t="shared" si="159"/>
        <v>3690.3846366768976</v>
      </c>
      <c r="R246" s="15">
        <f t="shared" si="159"/>
        <v>4303.964058109701</v>
      </c>
      <c r="S246" s="15">
        <f t="shared" si="159"/>
        <v>4929.8557067042912</v>
      </c>
      <c r="T246" s="15">
        <f t="shared" si="159"/>
        <v>5564.0220264972741</v>
      </c>
      <c r="U246" s="15">
        <f t="shared" si="159"/>
        <v>6208.2596200611151</v>
      </c>
      <c r="V246" s="15">
        <f t="shared" si="159"/>
        <v>6862.9563446987559</v>
      </c>
      <c r="W246" s="15">
        <f t="shared" si="159"/>
        <v>7529.034431057833</v>
      </c>
      <c r="X246" s="190">
        <f t="shared" si="159"/>
        <v>8206.1562506423543</v>
      </c>
      <c r="Y246" s="130">
        <f t="shared" ref="Y246:AH246" si="160">X246+Y243</f>
        <v>8897.401432453782</v>
      </c>
      <c r="Z246" s="130">
        <f t="shared" si="160"/>
        <v>9600.7609879523425</v>
      </c>
      <c r="AA246" s="130">
        <f t="shared" si="160"/>
        <v>10318.939351724503</v>
      </c>
      <c r="AB246" s="130">
        <f t="shared" si="160"/>
        <v>11049.861298973778</v>
      </c>
      <c r="AC246" s="130">
        <f t="shared" si="160"/>
        <v>11794.917681526855</v>
      </c>
      <c r="AD246" s="130">
        <f t="shared" si="160"/>
        <v>12518.415956263376</v>
      </c>
      <c r="AE246" s="130">
        <f t="shared" si="160"/>
        <v>13214.382336798444</v>
      </c>
      <c r="AF246" s="130">
        <f t="shared" si="160"/>
        <v>13915.321114251848</v>
      </c>
      <c r="AG246" s="130">
        <f t="shared" si="160"/>
        <v>14629.531101795563</v>
      </c>
      <c r="AH246" s="190">
        <f t="shared" si="160"/>
        <v>15354.076822238649</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7" activePane="bottomRight" state="frozen"/>
      <selection pane="topRight" activeCell="C1" sqref="C1"/>
      <selection pane="bottomLeft" activeCell="A3" sqref="A3"/>
      <selection pane="bottomRight" activeCell="E13" sqref="E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45745</v>
      </c>
      <c r="D4" s="329">
        <f>EIA_electricity_aeo2014!F58 * 1000</f>
        <v>47841</v>
      </c>
      <c r="E4" s="329">
        <f>EIA_electricity_aeo2014!G58 * 1000</f>
        <v>47890.414943208736</v>
      </c>
      <c r="F4" s="329">
        <f>EIA_electricity_aeo2014!H58 * 1000</f>
        <v>49190.443875051271</v>
      </c>
      <c r="G4" s="329">
        <f>EIA_electricity_aeo2014!I58 * 1000</f>
        <v>46459.549111349137</v>
      </c>
      <c r="H4" s="21">
        <f>EIA_electricity_aeo2014!J58 * 1000</f>
        <v>48006.208270287447</v>
      </c>
      <c r="I4" s="21">
        <f>EIA_electricity_aeo2014!K58 * 1000</f>
        <v>51654.576392041912</v>
      </c>
      <c r="J4" s="21">
        <f>EIA_electricity_aeo2014!L58 * 1000</f>
        <v>51633.886563990272</v>
      </c>
      <c r="K4" s="21">
        <f>EIA_electricity_aeo2014!M58 * 1000</f>
        <v>52958.720676670171</v>
      </c>
      <c r="L4" s="21">
        <f>EIA_electricity_aeo2014!N58 * 1000</f>
        <v>53270.930984660125</v>
      </c>
      <c r="M4" s="21">
        <f>EIA_electricity_aeo2014!O58 * 1000</f>
        <v>53193.476198503442</v>
      </c>
      <c r="N4" s="388">
        <f>EIA_electricity_aeo2014!P58 * 1000</f>
        <v>53237.418866077744</v>
      </c>
      <c r="O4" s="21">
        <f>EIA_electricity_aeo2014!Q58 * 1000</f>
        <v>51946.072109586967</v>
      </c>
      <c r="P4" s="21">
        <f>EIA_electricity_aeo2014!R58 * 1000</f>
        <v>51419.116118860227</v>
      </c>
      <c r="Q4" s="21">
        <f>EIA_electricity_aeo2014!S58 * 1000</f>
        <v>51461.520431305027</v>
      </c>
      <c r="R4" s="21">
        <f>EIA_electricity_aeo2014!T58 * 1000</f>
        <v>51469.030525587666</v>
      </c>
      <c r="S4" s="21">
        <f>EIA_electricity_aeo2014!U58 * 1000</f>
        <v>51512.943987336221</v>
      </c>
      <c r="T4" s="21">
        <f>EIA_electricity_aeo2014!V58 * 1000</f>
        <v>51405.775123434527</v>
      </c>
      <c r="U4" s="21">
        <f>EIA_electricity_aeo2014!W58 * 1000</f>
        <v>51364.488328603526</v>
      </c>
      <c r="V4" s="21">
        <f>EIA_electricity_aeo2014!X58 * 1000</f>
        <v>51316.604931336624</v>
      </c>
      <c r="W4" s="21">
        <f>EIA_electricity_aeo2014!Y58 * 1000</f>
        <v>51306.692074154445</v>
      </c>
      <c r="X4" s="388">
        <f>EIA_electricity_aeo2014!Z58 * 1000</f>
        <v>51285.834216770592</v>
      </c>
      <c r="Y4" s="21">
        <f>EIA_electricity_aeo2014!AA58 * 1000</f>
        <v>51241.136390811967</v>
      </c>
      <c r="Z4" s="21">
        <f>EIA_electricity_aeo2014!AB58 * 1000</f>
        <v>51111.720486122307</v>
      </c>
      <c r="AA4" s="21">
        <f>EIA_electricity_aeo2014!AC58 * 1000</f>
        <v>51078.304684539013</v>
      </c>
      <c r="AB4" s="21">
        <f>EIA_electricity_aeo2014!AD58 * 1000</f>
        <v>51068.848879207144</v>
      </c>
      <c r="AC4" s="21">
        <f>EIA_electricity_aeo2014!AE58 * 1000</f>
        <v>51063.794097920167</v>
      </c>
      <c r="AD4" s="21">
        <f>EIA_electricity_aeo2014!AF58 * 1000</f>
        <v>51478.747320997951</v>
      </c>
      <c r="AE4" s="21">
        <f>EIA_electricity_aeo2014!AG58 * 1000</f>
        <v>51935.273759859963</v>
      </c>
      <c r="AF4" s="21">
        <f>EIA_electricity_aeo2014!AH58 * 1000</f>
        <v>52034.703866083444</v>
      </c>
      <c r="AG4" s="21">
        <f>EIA_electricity_aeo2014!AI58 * 1000</f>
        <v>52066.635921000612</v>
      </c>
      <c r="AH4" s="21">
        <f>EIA_electricity_aeo2014!AJ58 * 1000</f>
        <v>52123.550068847821</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966.99</v>
      </c>
      <c r="D7" s="330">
        <f>EIA_RE_aeo2014!F73*1000-D15</f>
        <v>1023.99</v>
      </c>
      <c r="E7" s="330">
        <f>EIA_RE_aeo2014!G73*1000-E15</f>
        <v>1067.6956399858573</v>
      </c>
      <c r="F7" s="330">
        <f>EIA_RE_aeo2014!H73*1000-F15</f>
        <v>1003.6109790627959</v>
      </c>
      <c r="G7" s="330">
        <f>EIA_RE_aeo2014!I73*1000-G15</f>
        <v>825.37557921985353</v>
      </c>
      <c r="H7" s="174">
        <f>EIA_RE_aeo2014!J73*1000-H15</f>
        <v>842.9313513292243</v>
      </c>
      <c r="I7" s="174">
        <f>EIA_RE_aeo2014!K73*1000-I15</f>
        <v>856.81841119090859</v>
      </c>
      <c r="J7" s="174">
        <f>EIA_RE_aeo2014!L73*1000-J15</f>
        <v>871.94955958712865</v>
      </c>
      <c r="K7" s="174">
        <f>EIA_RE_aeo2014!M73*1000-K15</f>
        <v>882.58829000932974</v>
      </c>
      <c r="L7" s="174">
        <f>EIA_RE_aeo2014!N73*1000-L15</f>
        <v>878.80420630597519</v>
      </c>
      <c r="M7" s="174">
        <f>EIA_RE_aeo2014!O73*1000-M15</f>
        <v>878.80449590287458</v>
      </c>
      <c r="N7" s="184">
        <f>EIA_RE_aeo2014!P73*1000-N15</f>
        <v>878.80420630597519</v>
      </c>
      <c r="O7" s="174">
        <f>EIA_RE_aeo2014!Q73*1000-O15</f>
        <v>883.34903473703616</v>
      </c>
      <c r="P7" s="174">
        <f>EIA_RE_aeo2014!R73*1000-P15</f>
        <v>883.34874514013666</v>
      </c>
      <c r="Q7" s="174">
        <f>EIA_RE_aeo2014!S73*1000-Q15</f>
        <v>883.34864641392107</v>
      </c>
      <c r="R7" s="174">
        <f>EIA_RE_aeo2014!T73*1000-R15</f>
        <v>883.34864641392107</v>
      </c>
      <c r="S7" s="83">
        <f>EIA_RE_aeo2014!U73*1000-S15</f>
        <v>883.34864641392107</v>
      </c>
      <c r="T7" s="83">
        <f>EIA_RE_aeo2014!V73*1000-T15</f>
        <v>883.34854110595757</v>
      </c>
      <c r="U7" s="83">
        <f>EIA_RE_aeo2014!W73*1000-U15</f>
        <v>883.34854110595757</v>
      </c>
      <c r="V7" s="83">
        <f>EIA_RE_aeo2014!X73*1000-V15</f>
        <v>883.34854110595757</v>
      </c>
      <c r="W7" s="83">
        <f>EIA_RE_aeo2014!Y73*1000-W15</f>
        <v>888.68425866925213</v>
      </c>
      <c r="X7" s="184">
        <f>EIA_RE_aeo2014!Z73*1000-X15</f>
        <v>888.68425866925213</v>
      </c>
      <c r="Y7" s="174">
        <f>EIA_RE_aeo2014!AA73*1000-Y15</f>
        <v>889.84190911106748</v>
      </c>
      <c r="Z7" s="174">
        <f>EIA_RE_aeo2014!AB73*1000-Z15</f>
        <v>889.84191569281518</v>
      </c>
      <c r="AA7" s="174">
        <f>EIA_RE_aeo2014!AC73*1000-AA15</f>
        <v>889.84191569281518</v>
      </c>
      <c r="AB7" s="174">
        <f>EIA_RE_aeo2014!AD73*1000-AB15</f>
        <v>889.84191569281518</v>
      </c>
      <c r="AC7" s="174">
        <f>EIA_RE_aeo2014!AE73*1000-AC15</f>
        <v>891.54529832803541</v>
      </c>
      <c r="AD7" s="174">
        <f>EIA_RE_aeo2014!AF73*1000-AD15</f>
        <v>891.54559450668239</v>
      </c>
      <c r="AE7" s="174">
        <f>EIA_RE_aeo2014!AG73*1000-AE15</f>
        <v>891.54539047250353</v>
      </c>
      <c r="AF7" s="174">
        <f>EIA_RE_aeo2014!AH73*1000-AF15</f>
        <v>891.54508771210874</v>
      </c>
      <c r="AG7" s="174">
        <f>EIA_RE_aeo2014!AI73*1000-AG15</f>
        <v>895.65947642446042</v>
      </c>
      <c r="AH7" s="174">
        <f>EIA_RE_aeo2014!AJ73*1000-AH15</f>
        <v>895.65938427999242</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0</v>
      </c>
      <c r="D10" s="330">
        <f>EIA_RE_aeo2014!F76*1000</f>
        <v>0</v>
      </c>
      <c r="E10" s="330">
        <f>EIA_RE_aeo2014!G76*1000</f>
        <v>2.6048960000000002E-3</v>
      </c>
      <c r="F10" s="330">
        <f>EIA_RE_aeo2014!H76*1000</f>
        <v>2.52163E-3</v>
      </c>
      <c r="G10" s="330">
        <f>EIA_RE_aeo2014!I76*1000</f>
        <v>2.4783379999999996E-3</v>
      </c>
      <c r="H10" s="83">
        <f>EIA_RE_aeo2014!J76*1000</f>
        <v>2.6484580000000002E-3</v>
      </c>
      <c r="I10" s="174">
        <f>EIA_RE_aeo2014!K76*1000</f>
        <v>2.6254789999999996E-3</v>
      </c>
      <c r="J10" s="174">
        <f>EIA_RE_aeo2014!L76*1000</f>
        <v>2.8440859999999996E-3</v>
      </c>
      <c r="K10" s="174">
        <f>EIA_RE_aeo2014!M76*1000</f>
        <v>3.1130679999999997E-3</v>
      </c>
      <c r="L10" s="174">
        <f>EIA_RE_aeo2014!N76*1000</f>
        <v>3.8038399999999997E-3</v>
      </c>
      <c r="M10" s="174">
        <f>EIA_RE_aeo2014!O76*1000</f>
        <v>4.2440170000000001E-3</v>
      </c>
      <c r="N10" s="184">
        <f>EIA_RE_aeo2014!P76*1000</f>
        <v>4.3191179999999994E-3</v>
      </c>
      <c r="O10" s="174">
        <f>EIA_RE_aeo2014!Q76*1000</f>
        <v>4.5315149999999998E-3</v>
      </c>
      <c r="P10" s="174">
        <f>EIA_RE_aeo2014!R76*1000</f>
        <v>4.6377730000000004E-3</v>
      </c>
      <c r="Q10" s="174">
        <f>EIA_RE_aeo2014!S76*1000</f>
        <v>4.7140419999999999E-3</v>
      </c>
      <c r="R10" s="174">
        <f>EIA_RE_aeo2014!T76*1000</f>
        <v>4.8717719999999999E-3</v>
      </c>
      <c r="S10" s="83">
        <f>EIA_RE_aeo2014!U76*1000</f>
        <v>4.9320509999999998E-3</v>
      </c>
      <c r="T10" s="83">
        <f>EIA_RE_aeo2014!V76*1000</f>
        <v>5.2148560000000004E-3</v>
      </c>
      <c r="U10" s="83">
        <f>EIA_RE_aeo2014!W76*1000</f>
        <v>5.3218880000000003E-3</v>
      </c>
      <c r="V10" s="83">
        <f>EIA_RE_aeo2014!X76*1000</f>
        <v>5.3656499999999996E-3</v>
      </c>
      <c r="W10" s="83">
        <f>EIA_RE_aeo2014!Y76*1000</f>
        <v>5.4569850000000001E-3</v>
      </c>
      <c r="X10" s="184">
        <f>EIA_RE_aeo2014!Z76*1000</f>
        <v>5.5342460000000005E-3</v>
      </c>
      <c r="Y10" s="174">
        <f>EIA_RE_aeo2014!AA76*1000</f>
        <v>5.6304229999999999E-3</v>
      </c>
      <c r="Z10" s="174">
        <f>EIA_RE_aeo2014!AB76*1000</f>
        <v>5.9599129999999998E-3</v>
      </c>
      <c r="AA10" s="174">
        <f>EIA_RE_aeo2014!AC76*1000</f>
        <v>6.0681559999999999E-3</v>
      </c>
      <c r="AB10" s="174">
        <f>EIA_RE_aeo2014!AD76*1000</f>
        <v>6.2059849999999998E-3</v>
      </c>
      <c r="AC10" s="174">
        <f>EIA_RE_aeo2014!AE76*1000</f>
        <v>6.3535630000000004E-3</v>
      </c>
      <c r="AD10" s="174">
        <f>EIA_RE_aeo2014!AF76*1000</f>
        <v>6.488855E-3</v>
      </c>
      <c r="AE10" s="174">
        <f>EIA_RE_aeo2014!AG76*1000</f>
        <v>6.7667320000000001E-3</v>
      </c>
      <c r="AF10" s="174">
        <f>EIA_RE_aeo2014!AH76*1000</f>
        <v>6.9109139999999989E-3</v>
      </c>
      <c r="AG10" s="174">
        <f>EIA_RE_aeo2014!AI76*1000</f>
        <v>7.0930580000000002E-3</v>
      </c>
      <c r="AH10" s="174">
        <f>EIA_RE_aeo2014!AJ76*1000</f>
        <v>7.2849589999999988E-3</v>
      </c>
    </row>
    <row r="11" spans="1:34" s="20" customFormat="1">
      <c r="A11" s="9" t="s">
        <v>50</v>
      </c>
      <c r="B11" s="35">
        <v>1</v>
      </c>
      <c r="C11" s="330">
        <f>EIA_RE_aeo2014!E74*1000</f>
        <v>0</v>
      </c>
      <c r="D11" s="330">
        <f>EIA_RE_aeo2014!F74*1000</f>
        <v>0</v>
      </c>
      <c r="E11" s="330">
        <f>EIA_RE_aeo2014!G74*1000</f>
        <v>1.954E-3</v>
      </c>
      <c r="F11" s="330">
        <f>EIA_RE_aeo2014!H74*1000</f>
        <v>2.032E-3</v>
      </c>
      <c r="G11" s="330">
        <f>EIA_RE_aeo2014!I74*1000</f>
        <v>2.4136749999999997E-3</v>
      </c>
      <c r="H11" s="83">
        <f>EIA_RE_aeo2014!J74*1000</f>
        <v>2.6329220000000002E-3</v>
      </c>
      <c r="I11" s="83">
        <f>EIA_RE_aeo2014!K74*1000</f>
        <v>2.6329220000000002E-3</v>
      </c>
      <c r="J11" s="83">
        <f>EIA_RE_aeo2014!L74*1000</f>
        <v>3.4325479999999997E-3</v>
      </c>
      <c r="K11" s="83">
        <f>EIA_RE_aeo2014!M74*1000</f>
        <v>4.5954889999999995E-3</v>
      </c>
      <c r="L11" s="83">
        <f>EIA_RE_aeo2014!N74*1000</f>
        <v>5.3565990000000001E-3</v>
      </c>
      <c r="M11" s="83">
        <f>EIA_RE_aeo2014!O74*1000</f>
        <v>5.5484929999999998E-3</v>
      </c>
      <c r="N11" s="388">
        <f>EIA_RE_aeo2014!P74*1000</f>
        <v>5.5605940000000003E-3</v>
      </c>
      <c r="O11" s="83">
        <f>EIA_RE_aeo2014!Q74*1000</f>
        <v>5.9600369999999996E-3</v>
      </c>
      <c r="P11" s="83">
        <f>EIA_RE_aeo2014!R74*1000</f>
        <v>6.6367599999999994E-3</v>
      </c>
      <c r="Q11" s="83">
        <f>EIA_RE_aeo2014!S74*1000</f>
        <v>7.4563009999999994E-3</v>
      </c>
      <c r="R11" s="83">
        <f>EIA_RE_aeo2014!T74*1000</f>
        <v>8.3197150000000001E-3</v>
      </c>
      <c r="S11" s="83">
        <f>EIA_RE_aeo2014!U74*1000</f>
        <v>9.0521349999999993E-3</v>
      </c>
      <c r="T11" s="83">
        <f>EIA_RE_aeo2014!V74*1000</f>
        <v>9.9619129999999993E-3</v>
      </c>
      <c r="U11" s="83">
        <f>EIA_RE_aeo2014!W74*1000</f>
        <v>1.0783601E-2</v>
      </c>
      <c r="V11" s="83">
        <f>EIA_RE_aeo2014!X74*1000</f>
        <v>1.1229082E-2</v>
      </c>
      <c r="W11" s="83">
        <f>EIA_RE_aeo2014!Y74*1000</f>
        <v>1.1334820000000001E-2</v>
      </c>
      <c r="X11" s="184">
        <f>EIA_RE_aeo2014!Z74*1000</f>
        <v>1.1758219999999998E-2</v>
      </c>
      <c r="Y11" s="174">
        <f>EIA_RE_aeo2014!AA74*1000</f>
        <v>1.2825796999999998E-2</v>
      </c>
      <c r="Z11" s="174">
        <f>EIA_RE_aeo2014!AB74*1000</f>
        <v>1.4554629999999999E-2</v>
      </c>
      <c r="AA11" s="174">
        <f>EIA_RE_aeo2014!AC74*1000</f>
        <v>1.6048374000000001E-2</v>
      </c>
      <c r="AB11" s="174">
        <f>EIA_RE_aeo2014!AD74*1000</f>
        <v>1.7544751999999997E-2</v>
      </c>
      <c r="AC11" s="174">
        <f>EIA_RE_aeo2014!AE74*1000</f>
        <v>1.7955031999999999E-2</v>
      </c>
      <c r="AD11" s="174">
        <f>EIA_RE_aeo2014!AF74*1000</f>
        <v>1.8306678999999999E-2</v>
      </c>
      <c r="AE11" s="174">
        <f>EIA_RE_aeo2014!AG74*1000</f>
        <v>1.8575586000000002E-2</v>
      </c>
      <c r="AF11" s="174">
        <f>EIA_RE_aeo2014!AH74*1000</f>
        <v>1.8999570999999996E-2</v>
      </c>
      <c r="AG11" s="174">
        <f>EIA_RE_aeo2014!AI74*1000</f>
        <v>1.9477578999999998E-2</v>
      </c>
      <c r="AH11" s="174">
        <f>EIA_RE_aeo2014!AJ74*1000</f>
        <v>1.9535769999999997E-2</v>
      </c>
    </row>
    <row r="12" spans="1:34" s="20" customFormat="1">
      <c r="A12" s="9" t="s">
        <v>51</v>
      </c>
      <c r="B12" s="35">
        <v>1</v>
      </c>
      <c r="C12" s="330">
        <f>EIA_RE_aeo2014!E75*1000</f>
        <v>0</v>
      </c>
      <c r="D12" s="330">
        <f>EIA_RE_aeo2014!F75*1000</f>
        <v>0</v>
      </c>
      <c r="E12" s="330">
        <f>EIA_RE_aeo2014!G75*1000</f>
        <v>6.9026540000000005E-4</v>
      </c>
      <c r="F12" s="330">
        <f>EIA_RE_aeo2014!H75*1000</f>
        <v>8.1010930000000004E-4</v>
      </c>
      <c r="G12" s="330">
        <f>EIA_RE_aeo2014!I75*1000</f>
        <v>9.665953000000001E-4</v>
      </c>
      <c r="H12" s="83">
        <f>EIA_RE_aeo2014!J75*1000</f>
        <v>8.6393449999999997E-4</v>
      </c>
      <c r="I12" s="174">
        <f>EIA_RE_aeo2014!K75*1000</f>
        <v>9.654876E-4</v>
      </c>
      <c r="J12" s="174">
        <f>EIA_RE_aeo2014!L75*1000</f>
        <v>8.6386960000000006E-4</v>
      </c>
      <c r="K12" s="174">
        <f>EIA_RE_aeo2014!M75*1000</f>
        <v>9.5961470000000004E-4</v>
      </c>
      <c r="L12" s="174">
        <f>EIA_RE_aeo2014!N75*1000</f>
        <v>7.5440860000000013E-4</v>
      </c>
      <c r="M12" s="174">
        <f>EIA_RE_aeo2014!O75*1000</f>
        <v>9.7437339999999998E-4</v>
      </c>
      <c r="N12" s="184">
        <f>EIA_RE_aeo2014!P75*1000</f>
        <v>1.0740433000000001E-3</v>
      </c>
      <c r="O12" s="174">
        <f>EIA_RE_aeo2014!Q75*1000</f>
        <v>9.7445919999999996E-4</v>
      </c>
      <c r="P12" s="174">
        <f>EIA_RE_aeo2014!R75*1000</f>
        <v>8.6508070000000008E-4</v>
      </c>
      <c r="Q12" s="174">
        <f>EIA_RE_aeo2014!S75*1000</f>
        <v>9.6478799999999995E-4</v>
      </c>
      <c r="R12" s="174">
        <f>EIA_RE_aeo2014!T75*1000</f>
        <v>1.0774181000000002E-3</v>
      </c>
      <c r="S12" s="83">
        <f>EIA_RE_aeo2014!U75*1000</f>
        <v>8.6297310000000009E-4</v>
      </c>
      <c r="T12" s="83">
        <f>EIA_RE_aeo2014!V75*1000</f>
        <v>9.6118000000000006E-4</v>
      </c>
      <c r="U12" s="83">
        <f>EIA_RE_aeo2014!W75*1000</f>
        <v>9.6068390000000003E-4</v>
      </c>
      <c r="V12" s="83">
        <f>EIA_RE_aeo2014!X75*1000</f>
        <v>9.740246999999999E-4</v>
      </c>
      <c r="W12" s="83">
        <f>EIA_RE_aeo2014!Y75*1000</f>
        <v>8.4980059999999994E-4</v>
      </c>
      <c r="X12" s="184">
        <f>EIA_RE_aeo2014!Z75*1000</f>
        <v>8.5416650000000002E-4</v>
      </c>
      <c r="Y12" s="174">
        <f>EIA_RE_aeo2014!AA75*1000</f>
        <v>9.6574939999999993E-4</v>
      </c>
      <c r="Z12" s="174">
        <f>EIA_RE_aeo2014!AB75*1000</f>
        <v>8.4816269999999998E-4</v>
      </c>
      <c r="AA12" s="174">
        <f>EIA_RE_aeo2014!AC75*1000</f>
        <v>9.5918239999999997E-4</v>
      </c>
      <c r="AB12" s="174">
        <f>EIA_RE_aeo2014!AD75*1000</f>
        <v>9.6050460000000014E-4</v>
      </c>
      <c r="AC12" s="174">
        <f>EIA_RE_aeo2014!AE75*1000</f>
        <v>8.4627730000000009E-4</v>
      </c>
      <c r="AD12" s="174">
        <f>EIA_RE_aeo2014!AF75*1000</f>
        <v>9.5799770000000006E-4</v>
      </c>
      <c r="AE12" s="174">
        <f>EIA_RE_aeo2014!AG75*1000</f>
        <v>8.4536759999999996E-4</v>
      </c>
      <c r="AF12" s="174">
        <f>EIA_RE_aeo2014!AH75*1000</f>
        <v>8.4662710000000011E-4</v>
      </c>
      <c r="AG12" s="174">
        <f>EIA_RE_aeo2014!AI75*1000</f>
        <v>8.4622340000000014E-4</v>
      </c>
      <c r="AH12" s="174">
        <f>EIA_RE_aeo2014!AJ75*1000</f>
        <v>8.6360670000000018E-4</v>
      </c>
    </row>
    <row r="13" spans="1:34">
      <c r="A13" s="9" t="s">
        <v>347</v>
      </c>
      <c r="B13" s="34">
        <v>1</v>
      </c>
      <c r="C13" s="330">
        <f>(EIA_RE_aeo2014!E34+EIA_RE_aeo2014!E54)*1000</f>
        <v>0</v>
      </c>
      <c r="D13" s="330">
        <f>(EIA_RE_aeo2014!F34+EIA_RE_aeo2014!F54)*1000</f>
        <v>0</v>
      </c>
      <c r="E13" s="330">
        <f>(EIA_RE_aeo2014!G34+EIA_RE_aeo2014!G54)*1000</f>
        <v>0.02</v>
      </c>
      <c r="F13" s="330">
        <f>(EIA_RE_aeo2014!H34+EIA_RE_aeo2014!H54)*1000</f>
        <v>0.02</v>
      </c>
      <c r="G13" s="330">
        <f>(EIA_RE_aeo2014!I34+EIA_RE_aeo2014!I54)*1000</f>
        <v>0.02</v>
      </c>
      <c r="H13" s="83">
        <f>(EIA_RE_aeo2014!J34+EIA_RE_aeo2014!J54)*1000</f>
        <v>0.02</v>
      </c>
      <c r="I13" s="83">
        <f>(EIA_RE_aeo2014!K34+EIA_RE_aeo2014!K54)*1000</f>
        <v>0.02</v>
      </c>
      <c r="J13" s="83">
        <f>(EIA_RE_aeo2014!L34+EIA_RE_aeo2014!L54)*1000</f>
        <v>0.02</v>
      </c>
      <c r="K13" s="83">
        <f>(EIA_RE_aeo2014!M34+EIA_RE_aeo2014!M54)*1000</f>
        <v>0.02</v>
      </c>
      <c r="L13" s="83">
        <f>(EIA_RE_aeo2014!N34+EIA_RE_aeo2014!N54)*1000</f>
        <v>0.02</v>
      </c>
      <c r="M13" s="83">
        <f>(EIA_RE_aeo2014!O34+EIA_RE_aeo2014!O54)*1000</f>
        <v>0.02</v>
      </c>
      <c r="N13" s="388">
        <f>(EIA_RE_aeo2014!P34+EIA_RE_aeo2014!P54)*1000</f>
        <v>0.02</v>
      </c>
      <c r="O13" s="83">
        <f>(EIA_RE_aeo2014!Q34+EIA_RE_aeo2014!Q54)*1000</f>
        <v>0.02</v>
      </c>
      <c r="P13" s="83">
        <f>(EIA_RE_aeo2014!R34+EIA_RE_aeo2014!R54)*1000</f>
        <v>0.02</v>
      </c>
      <c r="Q13" s="83">
        <f>(EIA_RE_aeo2014!S34+EIA_RE_aeo2014!S54)*1000</f>
        <v>0.02</v>
      </c>
      <c r="R13" s="83">
        <f>(EIA_RE_aeo2014!T34+EIA_RE_aeo2014!T54)*1000</f>
        <v>0.02</v>
      </c>
      <c r="S13" s="83">
        <f>(EIA_RE_aeo2014!U34+EIA_RE_aeo2014!U54)*1000</f>
        <v>0.02</v>
      </c>
      <c r="T13" s="83">
        <f>(EIA_RE_aeo2014!V34+EIA_RE_aeo2014!V54)*1000</f>
        <v>0.02</v>
      </c>
      <c r="U13" s="83">
        <f>(EIA_RE_aeo2014!W34+EIA_RE_aeo2014!W54)*1000</f>
        <v>0.02</v>
      </c>
      <c r="V13" s="83">
        <f>(EIA_RE_aeo2014!X34+EIA_RE_aeo2014!X54)*1000</f>
        <v>0.02</v>
      </c>
      <c r="W13" s="83">
        <f>(EIA_RE_aeo2014!Y34+EIA_RE_aeo2014!Y54)*1000</f>
        <v>0.02</v>
      </c>
      <c r="X13" s="184">
        <f>(EIA_RE_aeo2014!Z34+EIA_RE_aeo2014!Z54)*1000</f>
        <v>0.02</v>
      </c>
      <c r="Y13" s="174">
        <f>(EIA_RE_aeo2014!AA34+EIA_RE_aeo2014!AA54)*1000</f>
        <v>0.02</v>
      </c>
      <c r="Z13" s="174">
        <f>(EIA_RE_aeo2014!AB34+EIA_RE_aeo2014!AB54)*1000</f>
        <v>0.02</v>
      </c>
      <c r="AA13" s="174">
        <f>(EIA_RE_aeo2014!AC34+EIA_RE_aeo2014!AC54)*1000</f>
        <v>0.02</v>
      </c>
      <c r="AB13" s="174">
        <f>(EIA_RE_aeo2014!AD34+EIA_RE_aeo2014!AD54)*1000</f>
        <v>0.02</v>
      </c>
      <c r="AC13" s="174">
        <f>(EIA_RE_aeo2014!AE34+EIA_RE_aeo2014!AE54)*1000</f>
        <v>0.02</v>
      </c>
      <c r="AD13" s="174">
        <f>(EIA_RE_aeo2014!AF34+EIA_RE_aeo2014!AF54)*1000</f>
        <v>0.02</v>
      </c>
      <c r="AE13" s="174">
        <f>(EIA_RE_aeo2014!AG34+EIA_RE_aeo2014!AG54)*1000</f>
        <v>0.02</v>
      </c>
      <c r="AF13" s="174">
        <f>(EIA_RE_aeo2014!AH34+EIA_RE_aeo2014!AH54)*1000</f>
        <v>0.02</v>
      </c>
      <c r="AG13" s="174">
        <f>(EIA_RE_aeo2014!AI34+EIA_RE_aeo2014!AI54)*1000</f>
        <v>0.02</v>
      </c>
      <c r="AH13" s="174">
        <f>EIA_RE_aeo2014!AJ77*1000</f>
        <v>0</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2226</v>
      </c>
      <c r="D16" s="330">
        <f>EIA_RE_aeo2014!F78*1000</f>
        <v>3247</v>
      </c>
      <c r="E16" s="330">
        <f>EIA_RE_aeo2014!G78*1000</f>
        <v>3530.7354755446099</v>
      </c>
      <c r="F16" s="330">
        <f>EIA_RE_aeo2014!H78*1000</f>
        <v>4029.9917602115079</v>
      </c>
      <c r="G16" s="330">
        <f>EIA_RE_aeo2014!I78*1000</f>
        <v>4742.1144022929975</v>
      </c>
      <c r="H16" s="3">
        <f>EIA_RE_aeo2014!J78*1000</f>
        <v>4756.8199694393879</v>
      </c>
      <c r="I16" s="3">
        <f>EIA_RE_aeo2014!K78*1000</f>
        <v>5089.5310357547132</v>
      </c>
      <c r="J16" s="3">
        <f>EIA_RE_aeo2014!L78*1000</f>
        <v>5280.0644071204961</v>
      </c>
      <c r="K16" s="3">
        <f>EIA_RE_aeo2014!M78*1000</f>
        <v>5280.369492108608</v>
      </c>
      <c r="L16" s="3">
        <f>EIA_RE_aeo2014!N78*1000</f>
        <v>5280.2400442833714</v>
      </c>
      <c r="M16" s="3">
        <f>EIA_RE_aeo2014!O78*1000</f>
        <v>5279.9339295966502</v>
      </c>
      <c r="N16" s="388">
        <f>EIA_RE_aeo2014!P78*1000</f>
        <v>5279.8519950072678</v>
      </c>
      <c r="O16" s="3">
        <f>EIA_RE_aeo2014!Q78*1000</f>
        <v>5279.817279454136</v>
      </c>
      <c r="P16" s="3">
        <f>EIA_RE_aeo2014!R78*1000</f>
        <v>5281.537611631561</v>
      </c>
      <c r="Q16" s="3">
        <f>EIA_RE_aeo2014!S78*1000</f>
        <v>5280.3793477953031</v>
      </c>
      <c r="R16" s="3">
        <f>EIA_RE_aeo2014!T78*1000</f>
        <v>5280.2887343176371</v>
      </c>
      <c r="S16" s="3">
        <f>EIA_RE_aeo2014!U78*1000</f>
        <v>5285.3901554303393</v>
      </c>
      <c r="T16" s="3">
        <f>EIA_RE_aeo2014!V78*1000</f>
        <v>5293.3613465686394</v>
      </c>
      <c r="U16" s="3">
        <f>EIA_RE_aeo2014!W78*1000</f>
        <v>5300.9543441175274</v>
      </c>
      <c r="V16" s="3">
        <f>EIA_RE_aeo2014!X78*1000</f>
        <v>5304.4715003691053</v>
      </c>
      <c r="W16" s="3">
        <f>EIA_RE_aeo2014!Y78*1000</f>
        <v>5305.8577688975392</v>
      </c>
      <c r="X16" s="184">
        <f>EIA_RE_aeo2014!Z78*1000</f>
        <v>5312.2010065336972</v>
      </c>
      <c r="Y16" s="174">
        <f>EIA_RE_aeo2014!AA78*1000</f>
        <v>5319.9002101391998</v>
      </c>
      <c r="Z16" s="174">
        <f>EIA_RE_aeo2014!AB78*1000</f>
        <v>5327.5076234686267</v>
      </c>
      <c r="AA16" s="174">
        <f>EIA_RE_aeo2014!AC78*1000</f>
        <v>5335.5859032623484</v>
      </c>
      <c r="AB16" s="174">
        <f>EIA_RE_aeo2014!AD78*1000</f>
        <v>5369.4053244036149</v>
      </c>
      <c r="AC16" s="174">
        <f>EIA_RE_aeo2014!AE78*1000</f>
        <v>5392.848178454019</v>
      </c>
      <c r="AD16" s="174">
        <f>EIA_RE_aeo2014!AF78*1000</f>
        <v>5837.0454487546804</v>
      </c>
      <c r="AE16" s="174">
        <f>EIA_RE_aeo2014!AG78*1000</f>
        <v>6348.6353162703235</v>
      </c>
      <c r="AF16" s="174">
        <f>EIA_RE_aeo2014!AH78*1000</f>
        <v>6488.819661811036</v>
      </c>
      <c r="AG16" s="174">
        <f>EIA_RE_aeo2014!AI78*1000</f>
        <v>6538.7192977428167</v>
      </c>
      <c r="AH16" s="174">
        <f>EIA_RE_aeo2014!AJ78*1000</f>
        <v>6626.1945482447254</v>
      </c>
    </row>
    <row r="17" spans="1:34">
      <c r="A17" s="11" t="s">
        <v>327</v>
      </c>
      <c r="B17" s="36"/>
      <c r="C17" s="330">
        <f t="shared" ref="C17:AH17" si="0">SUM(C7:C16)</f>
        <v>3193</v>
      </c>
      <c r="D17" s="330">
        <f t="shared" si="0"/>
        <v>4271</v>
      </c>
      <c r="E17" s="330">
        <f t="shared" si="0"/>
        <v>4598.4763646918673</v>
      </c>
      <c r="F17" s="330">
        <f t="shared" si="0"/>
        <v>5033.6481030136038</v>
      </c>
      <c r="G17" s="330">
        <f t="shared" si="0"/>
        <v>5567.5358401211506</v>
      </c>
      <c r="H17" s="3">
        <f t="shared" si="0"/>
        <v>5599.7974660831123</v>
      </c>
      <c r="I17" s="3">
        <f t="shared" si="0"/>
        <v>5946.3956708342221</v>
      </c>
      <c r="J17" s="3">
        <f t="shared" si="0"/>
        <v>6152.0611072112242</v>
      </c>
      <c r="K17" s="3">
        <f t="shared" si="0"/>
        <v>6163.0064502896375</v>
      </c>
      <c r="L17" s="3">
        <f t="shared" si="0"/>
        <v>6159.0941654369462</v>
      </c>
      <c r="M17" s="3">
        <f t="shared" si="0"/>
        <v>6158.7891923829247</v>
      </c>
      <c r="N17" s="388">
        <f t="shared" si="0"/>
        <v>6158.7071550685432</v>
      </c>
      <c r="O17" s="3">
        <f t="shared" si="0"/>
        <v>6163.2177802023725</v>
      </c>
      <c r="P17" s="3">
        <f t="shared" si="0"/>
        <v>6164.9384963853972</v>
      </c>
      <c r="Q17" s="3">
        <f t="shared" si="0"/>
        <v>6163.7811293402247</v>
      </c>
      <c r="R17" s="3">
        <f t="shared" si="0"/>
        <v>6163.6916496366584</v>
      </c>
      <c r="S17" s="3">
        <f t="shared" si="0"/>
        <v>6168.7936490033608</v>
      </c>
      <c r="T17" s="3">
        <f t="shared" si="0"/>
        <v>6176.7660256235968</v>
      </c>
      <c r="U17" s="3">
        <f t="shared" si="0"/>
        <v>6184.3599513963845</v>
      </c>
      <c r="V17" s="3">
        <f t="shared" si="0"/>
        <v>6187.8776102317624</v>
      </c>
      <c r="W17" s="3">
        <f t="shared" si="0"/>
        <v>6194.5996691723913</v>
      </c>
      <c r="X17" s="184">
        <f t="shared" si="0"/>
        <v>6200.9434118354493</v>
      </c>
      <c r="Y17" s="174">
        <f t="shared" si="0"/>
        <v>6209.8015412196673</v>
      </c>
      <c r="Z17" s="174">
        <f t="shared" si="0"/>
        <v>6217.4109018671415</v>
      </c>
      <c r="AA17" s="174">
        <f t="shared" si="0"/>
        <v>6225.4908946675632</v>
      </c>
      <c r="AB17" s="174">
        <f t="shared" si="0"/>
        <v>6259.3119513380298</v>
      </c>
      <c r="AC17" s="174">
        <f t="shared" si="0"/>
        <v>6284.4586316543546</v>
      </c>
      <c r="AD17" s="174">
        <f t="shared" si="0"/>
        <v>6728.6567967930623</v>
      </c>
      <c r="AE17" s="174">
        <f t="shared" si="0"/>
        <v>7240.2468944284274</v>
      </c>
      <c r="AF17" s="174">
        <f t="shared" si="0"/>
        <v>7380.4315066352447</v>
      </c>
      <c r="AG17" s="174">
        <f t="shared" si="0"/>
        <v>7434.4461910276768</v>
      </c>
      <c r="AH17" s="174">
        <f t="shared" si="0"/>
        <v>7521.9016168604176</v>
      </c>
    </row>
    <row r="18" spans="1:34">
      <c r="A18" s="10" t="s">
        <v>126</v>
      </c>
      <c r="B18" s="37"/>
      <c r="C18" s="331">
        <f t="shared" ref="C18:AH18" si="1">SUMPRODUCT($B7:$B16,C7:C16)</f>
        <v>2226.0100000000002</v>
      </c>
      <c r="D18" s="331">
        <f t="shared" si="1"/>
        <v>3247.01</v>
      </c>
      <c r="E18" s="331">
        <f t="shared" si="1"/>
        <v>3530.78072470601</v>
      </c>
      <c r="F18" s="331">
        <f t="shared" si="1"/>
        <v>4030.0371239508077</v>
      </c>
      <c r="G18" s="331">
        <f t="shared" si="1"/>
        <v>4742.1602609012971</v>
      </c>
      <c r="H18" s="14">
        <f t="shared" si="1"/>
        <v>4756.8661147538878</v>
      </c>
      <c r="I18" s="14">
        <f t="shared" si="1"/>
        <v>5089.5772596433135</v>
      </c>
      <c r="J18" s="14">
        <f t="shared" si="1"/>
        <v>5280.1115476240957</v>
      </c>
      <c r="K18" s="14">
        <f t="shared" si="1"/>
        <v>5280.4181602803083</v>
      </c>
      <c r="L18" s="14">
        <f t="shared" si="1"/>
        <v>5280.2899591309715</v>
      </c>
      <c r="M18" s="14">
        <f t="shared" si="1"/>
        <v>5279.9846964800499</v>
      </c>
      <c r="N18" s="190">
        <f t="shared" si="1"/>
        <v>5279.9029487625676</v>
      </c>
      <c r="O18" s="14">
        <f t="shared" si="1"/>
        <v>5279.8687454653364</v>
      </c>
      <c r="P18" s="14">
        <f t="shared" si="1"/>
        <v>5281.5897512452611</v>
      </c>
      <c r="Q18" s="14">
        <f t="shared" si="1"/>
        <v>5280.4324829263032</v>
      </c>
      <c r="R18" s="14">
        <f t="shared" si="1"/>
        <v>5280.343003222737</v>
      </c>
      <c r="S18" s="14">
        <f t="shared" si="1"/>
        <v>5285.4450025894394</v>
      </c>
      <c r="T18" s="14">
        <f t="shared" si="1"/>
        <v>5293.4174845176394</v>
      </c>
      <c r="U18" s="14">
        <f t="shared" si="1"/>
        <v>5301.0114102904272</v>
      </c>
      <c r="V18" s="14">
        <f t="shared" si="1"/>
        <v>5304.5290691258051</v>
      </c>
      <c r="W18" s="14">
        <f t="shared" si="1"/>
        <v>5305.9154105031394</v>
      </c>
      <c r="X18" s="187">
        <f t="shared" si="1"/>
        <v>5312.2591531661974</v>
      </c>
      <c r="Y18" s="14">
        <f t="shared" si="1"/>
        <v>5319.9596321086001</v>
      </c>
      <c r="Z18" s="14">
        <f t="shared" si="1"/>
        <v>5327.5689861743267</v>
      </c>
      <c r="AA18" s="14">
        <f t="shared" si="1"/>
        <v>5335.6489789747484</v>
      </c>
      <c r="AB18" s="14">
        <f t="shared" si="1"/>
        <v>5369.4700356452149</v>
      </c>
      <c r="AC18" s="14">
        <f t="shared" si="1"/>
        <v>5392.9133333263189</v>
      </c>
      <c r="AD18" s="14">
        <f t="shared" si="1"/>
        <v>5837.1112022863799</v>
      </c>
      <c r="AE18" s="14">
        <f t="shared" si="1"/>
        <v>6348.7015039559237</v>
      </c>
      <c r="AF18" s="14">
        <f t="shared" si="1"/>
        <v>6488.8864189231363</v>
      </c>
      <c r="AG18" s="14">
        <f t="shared" si="1"/>
        <v>6538.7867146032168</v>
      </c>
      <c r="AH18" s="14">
        <f t="shared" si="1"/>
        <v>6626.2422325804255</v>
      </c>
    </row>
    <row r="19" spans="1:34">
      <c r="A19" s="10" t="s">
        <v>112</v>
      </c>
      <c r="B19" s="37"/>
      <c r="C19" s="332">
        <f t="shared" ref="C19:AH19" si="2">C18/C4</f>
        <v>4.8661274456224729E-2</v>
      </c>
      <c r="D19" s="332">
        <f t="shared" si="2"/>
        <v>6.7870863903346512E-2</v>
      </c>
      <c r="E19" s="332">
        <f t="shared" si="2"/>
        <v>7.3726250417604791E-2</v>
      </c>
      <c r="F19" s="332">
        <f t="shared" si="2"/>
        <v>8.1927236399563938E-2</v>
      </c>
      <c r="G19" s="332">
        <f t="shared" si="2"/>
        <v>0.10207073360819342</v>
      </c>
      <c r="H19" s="23">
        <f t="shared" si="2"/>
        <v>9.9088561378801121E-2</v>
      </c>
      <c r="I19" s="23">
        <f t="shared" si="2"/>
        <v>9.8531003739436948E-2</v>
      </c>
      <c r="J19" s="23">
        <f t="shared" si="2"/>
        <v>0.10226058697093067</v>
      </c>
      <c r="K19" s="23">
        <f t="shared" si="2"/>
        <v>9.9708189563696981E-2</v>
      </c>
      <c r="L19" s="23">
        <f t="shared" si="2"/>
        <v>9.9121413152165133E-2</v>
      </c>
      <c r="M19" s="23">
        <f t="shared" si="2"/>
        <v>9.9260004681337194E-2</v>
      </c>
      <c r="N19" s="183">
        <f t="shared" si="2"/>
        <v>9.9176539006230066E-2</v>
      </c>
      <c r="O19" s="23">
        <f t="shared" si="2"/>
        <v>0.10164134709409346</v>
      </c>
      <c r="P19" s="23">
        <f t="shared" si="2"/>
        <v>0.10271646325145611</v>
      </c>
      <c r="Q19" s="23">
        <f t="shared" si="2"/>
        <v>0.10260933681458263</v>
      </c>
      <c r="R19" s="23">
        <f t="shared" si="2"/>
        <v>0.1025926260763282</v>
      </c>
      <c r="S19" s="23">
        <f t="shared" si="2"/>
        <v>0.10260421155290206</v>
      </c>
      <c r="T19" s="23">
        <f t="shared" si="2"/>
        <v>0.10297320625566272</v>
      </c>
      <c r="U19" s="23">
        <f t="shared" si="2"/>
        <v>0.10320382004736985</v>
      </c>
      <c r="V19" s="23">
        <f t="shared" si="2"/>
        <v>0.10336866743666007</v>
      </c>
      <c r="W19" s="23">
        <f t="shared" si="2"/>
        <v>0.10341565975125444</v>
      </c>
      <c r="X19" s="185">
        <f t="shared" si="2"/>
        <v>0.10358141257316383</v>
      </c>
      <c r="Y19" s="172">
        <f t="shared" si="2"/>
        <v>0.10382204624686116</v>
      </c>
      <c r="Z19" s="172">
        <f t="shared" si="2"/>
        <v>0.10423380264847182</v>
      </c>
      <c r="AA19" s="172">
        <f t="shared" si="2"/>
        <v>0.10446018151792352</v>
      </c>
      <c r="AB19" s="172">
        <f t="shared" si="2"/>
        <v>0.10514178708718483</v>
      </c>
      <c r="AC19" s="172">
        <f t="shared" si="2"/>
        <v>0.10561129325770122</v>
      </c>
      <c r="AD19" s="172">
        <f t="shared" si="2"/>
        <v>0.11338875761464864</v>
      </c>
      <c r="AE19" s="172">
        <f t="shared" si="2"/>
        <v>0.12224257319430451</v>
      </c>
      <c r="AF19" s="172">
        <f t="shared" si="2"/>
        <v>0.1247030527092638</v>
      </c>
      <c r="AG19" s="172">
        <f t="shared" si="2"/>
        <v>0.12558496624449392</v>
      </c>
      <c r="AH19" s="172">
        <f t="shared" si="2"/>
        <v>0.12712568932523013</v>
      </c>
    </row>
    <row r="20" spans="1:34">
      <c r="A20" s="10" t="s">
        <v>142</v>
      </c>
      <c r="B20" s="37"/>
      <c r="C20" s="331">
        <f>EIA_electricity_aeo2014!E49*1000</f>
        <v>41954</v>
      </c>
      <c r="D20" s="331">
        <f>EIA_electricity_aeo2014!F49*1000</f>
        <v>42987</v>
      </c>
      <c r="E20" s="331">
        <f>EIA_electricity_aeo2014!G49*1000</f>
        <v>42254.095099999999</v>
      </c>
      <c r="F20" s="331">
        <f>EIA_electricity_aeo2014!H49*1000</f>
        <v>42371.554400000001</v>
      </c>
      <c r="G20" s="331">
        <f>EIA_electricity_aeo2014!I49*1000</f>
        <v>39249.795550000003</v>
      </c>
      <c r="H20" s="14">
        <f>EIA_electricity_aeo2014!J49*1000</f>
        <v>40759.330499999996</v>
      </c>
      <c r="I20" s="14">
        <f>EIA_electricity_aeo2014!K49*1000</f>
        <v>44147.062749999997</v>
      </c>
      <c r="J20" s="14">
        <f>EIA_electricity_aeo2014!L49*1000</f>
        <v>43891.215549999994</v>
      </c>
      <c r="K20" s="14">
        <f>EIA_electricity_aeo2014!M49*1000</f>
        <v>45205.538</v>
      </c>
      <c r="L20" s="14">
        <f>EIA_electricity_aeo2014!N49*1000</f>
        <v>45495.463299999989</v>
      </c>
      <c r="M20" s="14">
        <f>EIA_electricity_aeo2014!O49*1000</f>
        <v>45407.610849999997</v>
      </c>
      <c r="N20" s="190">
        <f>EIA_electricity_aeo2014!P49*1000</f>
        <v>45439.345700000005</v>
      </c>
      <c r="O20" s="14">
        <f>EIA_electricity_aeo2014!Q49*1000</f>
        <v>44100.385699999999</v>
      </c>
      <c r="P20" s="14">
        <f>EIA_electricity_aeo2014!R49*1000</f>
        <v>43530.982950000005</v>
      </c>
      <c r="Q20" s="14">
        <f>EIA_electricity_aeo2014!S49*1000</f>
        <v>43547.204749999997</v>
      </c>
      <c r="R20" s="14">
        <f>EIA_electricity_aeo2014!T49*1000</f>
        <v>43544.018000000004</v>
      </c>
      <c r="S20" s="14">
        <f>EIA_electricity_aeo2014!U49*1000</f>
        <v>43561.217349999999</v>
      </c>
      <c r="T20" s="14">
        <f>EIA_electricity_aeo2014!V49*1000</f>
        <v>43416.577049999993</v>
      </c>
      <c r="U20" s="14">
        <f>EIA_electricity_aeo2014!W49*1000</f>
        <v>43350.563549999999</v>
      </c>
      <c r="V20" s="14">
        <f>EIA_electricity_aeo2014!X49*1000</f>
        <v>43287.1495</v>
      </c>
      <c r="W20" s="14">
        <f>EIA_electricity_aeo2014!Y49*1000</f>
        <v>43244.319650000005</v>
      </c>
      <c r="X20" s="187">
        <f>EIA_electricity_aeo2014!Z49*1000</f>
        <v>43193.911249999997</v>
      </c>
      <c r="Y20" s="14">
        <f>EIA_electricity_aeo2014!AA49*1000</f>
        <v>43140.73085</v>
      </c>
      <c r="Z20" s="14">
        <f>EIA_electricity_aeo2014!AB49*1000</f>
        <v>42981.469649999992</v>
      </c>
      <c r="AA20" s="14">
        <f>EIA_electricity_aeo2014!AC49*1000</f>
        <v>42929.584949999997</v>
      </c>
      <c r="AB20" s="14">
        <f>EIA_electricity_aeo2014!AD49*1000</f>
        <v>42881.030849999996</v>
      </c>
      <c r="AC20" s="14">
        <f>EIA_electricity_aeo2014!AE49*1000</f>
        <v>42843.900749999993</v>
      </c>
      <c r="AD20" s="14">
        <f>EIA_electricity_aeo2014!AF49*1000</f>
        <v>42818.483399999997</v>
      </c>
      <c r="AE20" s="14">
        <f>EIA_electricity_aeo2014!AG49*1000</f>
        <v>42761.69694999999</v>
      </c>
      <c r="AF20" s="14">
        <f>EIA_electricity_aeo2014!AH49*1000</f>
        <v>42711.467400000001</v>
      </c>
      <c r="AG20" s="14">
        <f>EIA_electricity_aeo2014!AI49*1000</f>
        <v>42666.945649999994</v>
      </c>
      <c r="AH20" s="14">
        <f>EIA_electricity_aeo2014!AJ49*1000</f>
        <v>42616.453249999991</v>
      </c>
    </row>
    <row r="21" spans="1:34">
      <c r="A21" s="10" t="s">
        <v>222</v>
      </c>
      <c r="B21" s="37"/>
      <c r="C21" s="331">
        <f>EIA_electricity_aeo2014!E51*1000</f>
        <v>488</v>
      </c>
      <c r="D21" s="331">
        <f>EIA_electricity_aeo2014!F51*1000</f>
        <v>459</v>
      </c>
      <c r="E21" s="331">
        <f>EIA_electricity_aeo2014!G51*1000</f>
        <v>245.16895800782444</v>
      </c>
      <c r="F21" s="331">
        <f>EIA_electricity_aeo2014!H51*1000</f>
        <v>293.6454174911907</v>
      </c>
      <c r="G21" s="331">
        <f>EIA_electricity_aeo2014!I51*1000</f>
        <v>363.31705519851948</v>
      </c>
      <c r="H21" s="14">
        <f>EIA_electricity_aeo2014!J51*1000</f>
        <v>356.02989840569353</v>
      </c>
      <c r="I21" s="14">
        <f>EIA_electricity_aeo2014!K51*1000</f>
        <v>230.23085698997224</v>
      </c>
      <c r="J21" s="14">
        <f>EIA_electricity_aeo2014!L51*1000</f>
        <v>248.90022220482143</v>
      </c>
      <c r="K21" s="14">
        <f>EIA_electricity_aeo2014!M51*1000</f>
        <v>247.30835976722005</v>
      </c>
      <c r="L21" s="14">
        <f>EIA_electricity_aeo2014!N51*1000</f>
        <v>273.02189782903281</v>
      </c>
      <c r="M21" s="14">
        <f>EIA_electricity_aeo2014!O51*1000</f>
        <v>283.83527566644125</v>
      </c>
      <c r="N21" s="190">
        <f>EIA_electricity_aeo2014!P51*1000</f>
        <v>296.06791309281948</v>
      </c>
      <c r="O21" s="14">
        <f>EIA_electricity_aeo2014!Q51*1000</f>
        <v>340.34254630037424</v>
      </c>
      <c r="P21" s="14">
        <f>EIA_electricity_aeo2014!R51*1000</f>
        <v>381.58236762008295</v>
      </c>
      <c r="Q21" s="14">
        <f>EIA_electricity_aeo2014!S51*1000</f>
        <v>408.90715679033423</v>
      </c>
      <c r="R21" s="14">
        <f>EIA_electricity_aeo2014!T51*1000</f>
        <v>419.67453928146131</v>
      </c>
      <c r="S21" s="14">
        <f>EIA_electricity_aeo2014!U51*1000</f>
        <v>441.24114491788515</v>
      </c>
      <c r="T21" s="14">
        <f>EIA_electricity_aeo2014!V51*1000</f>
        <v>470.82076469659313</v>
      </c>
      <c r="U21" s="14">
        <f>EIA_electricity_aeo2014!W51*1000</f>
        <v>488.0488017360787</v>
      </c>
      <c r="V21" s="14">
        <f>EIA_electricity_aeo2014!X51*1000</f>
        <v>500.12058500440139</v>
      </c>
      <c r="W21" s="14">
        <f>EIA_electricity_aeo2014!Y51*1000</f>
        <v>526.35434501672592</v>
      </c>
      <c r="X21" s="187">
        <f>EIA_electricity_aeo2014!Z51*1000</f>
        <v>549.60657311982766</v>
      </c>
      <c r="Y21" s="14">
        <f>EIA_electricity_aeo2014!AA51*1000</f>
        <v>549.28029710233966</v>
      </c>
      <c r="Z21" s="14">
        <f>EIA_electricity_aeo2014!AB51*1000</f>
        <v>571.5626030602001</v>
      </c>
      <c r="AA21" s="14">
        <f>EIA_electricity_aeo2014!AC51*1000</f>
        <v>581.9971726127435</v>
      </c>
      <c r="AB21" s="14">
        <f>EIA_electricity_aeo2014!AD51*1000</f>
        <v>587.31795247045943</v>
      </c>
      <c r="AC21" s="14">
        <f>EIA_electricity_aeo2014!AE51*1000</f>
        <v>594.2791293690633</v>
      </c>
      <c r="AD21" s="14">
        <f>EIA_electricity_aeo2014!AF51*1000</f>
        <v>590.47267947484556</v>
      </c>
      <c r="AE21" s="14">
        <f>EIA_electricity_aeo2014!AG51*1000</f>
        <v>592.2546530491768</v>
      </c>
      <c r="AF21" s="14">
        <f>EIA_electricity_aeo2014!AH51*1000</f>
        <v>601.77158842216147</v>
      </c>
      <c r="AG21" s="14">
        <f>EIA_electricity_aeo2014!AI51*1000</f>
        <v>624.24419059379295</v>
      </c>
      <c r="AH21" s="14">
        <f>EIA_electricity_aeo2014!AJ51*1000</f>
        <v>644.22034778121031</v>
      </c>
    </row>
    <row r="22" spans="1:34">
      <c r="A22" s="10" t="s">
        <v>351</v>
      </c>
      <c r="B22" s="37"/>
      <c r="C22" s="330">
        <f>SUM(C17,C20:C21)</f>
        <v>45635</v>
      </c>
      <c r="D22" s="330">
        <f t="shared" ref="D22:AH22" si="3">SUM(D17,D20:D21)</f>
        <v>47717</v>
      </c>
      <c r="E22" s="330">
        <f t="shared" si="3"/>
        <v>47097.740422699688</v>
      </c>
      <c r="F22" s="330">
        <f t="shared" si="3"/>
        <v>47698.847920504799</v>
      </c>
      <c r="G22" s="330">
        <f t="shared" si="3"/>
        <v>45180.648445319668</v>
      </c>
      <c r="H22" s="79">
        <f t="shared" si="3"/>
        <v>46715.1578644888</v>
      </c>
      <c r="I22" s="79">
        <f t="shared" si="3"/>
        <v>50323.689277824189</v>
      </c>
      <c r="J22" s="79">
        <f t="shared" si="3"/>
        <v>50292.176879416038</v>
      </c>
      <c r="K22" s="79">
        <f t="shared" si="3"/>
        <v>51615.852810056858</v>
      </c>
      <c r="L22" s="79">
        <f t="shared" si="3"/>
        <v>51927.57936326597</v>
      </c>
      <c r="M22" s="79">
        <f t="shared" si="3"/>
        <v>51850.235318049359</v>
      </c>
      <c r="N22" s="388">
        <f t="shared" si="3"/>
        <v>51894.120768161367</v>
      </c>
      <c r="O22" s="79">
        <f t="shared" si="3"/>
        <v>50603.946026502745</v>
      </c>
      <c r="P22" s="79">
        <f t="shared" si="3"/>
        <v>50077.503814005482</v>
      </c>
      <c r="Q22" s="79">
        <f t="shared" si="3"/>
        <v>50119.893036130561</v>
      </c>
      <c r="R22" s="79">
        <f t="shared" si="3"/>
        <v>50127.384188918128</v>
      </c>
      <c r="S22" s="79">
        <f t="shared" si="3"/>
        <v>50171.252143921243</v>
      </c>
      <c r="T22" s="79">
        <f t="shared" si="3"/>
        <v>50064.163840320187</v>
      </c>
      <c r="U22" s="79">
        <f t="shared" si="3"/>
        <v>50022.972303132461</v>
      </c>
      <c r="V22" s="79">
        <f t="shared" si="3"/>
        <v>49975.147695236163</v>
      </c>
      <c r="W22" s="79">
        <f t="shared" si="3"/>
        <v>49965.273664189124</v>
      </c>
      <c r="X22" s="184">
        <f t="shared" si="3"/>
        <v>49944.46123495527</v>
      </c>
      <c r="Y22" s="174">
        <f t="shared" si="3"/>
        <v>49899.81268832201</v>
      </c>
      <c r="Z22" s="174">
        <f t="shared" si="3"/>
        <v>49770.443154927336</v>
      </c>
      <c r="AA22" s="174">
        <f t="shared" si="3"/>
        <v>49737.073017280301</v>
      </c>
      <c r="AB22" s="174">
        <f t="shared" si="3"/>
        <v>49727.660753808486</v>
      </c>
      <c r="AC22" s="174">
        <f t="shared" si="3"/>
        <v>49722.638511023411</v>
      </c>
      <c r="AD22" s="174">
        <f t="shared" si="3"/>
        <v>50137.6128762679</v>
      </c>
      <c r="AE22" s="174">
        <f t="shared" si="3"/>
        <v>50594.198497477591</v>
      </c>
      <c r="AF22" s="174">
        <f t="shared" si="3"/>
        <v>50693.670495057406</v>
      </c>
      <c r="AG22" s="174">
        <f t="shared" si="3"/>
        <v>50725.636031621463</v>
      </c>
      <c r="AH22" s="174">
        <f t="shared" si="3"/>
        <v>50782.575214641613</v>
      </c>
    </row>
    <row r="23" spans="1:34">
      <c r="A23" s="10" t="s">
        <v>328</v>
      </c>
      <c r="B23" s="37"/>
      <c r="C23" s="330">
        <f>EIA_electricity_aeo2014!E50*1000+EIA_electricity_aeo2014!E55*1000</f>
        <v>110</v>
      </c>
      <c r="D23" s="330">
        <f>EIA_electricity_aeo2014!F50*1000+EIA_electricity_aeo2014!F55*1000</f>
        <v>124</v>
      </c>
      <c r="E23" s="330">
        <f>EIA_electricity_aeo2014!G50*1000+EIA_electricity_aeo2014!G55*1000</f>
        <v>792.70452050904555</v>
      </c>
      <c r="F23" s="330">
        <f>EIA_electricity_aeo2014!H50*1000+EIA_electricity_aeo2014!H55*1000</f>
        <v>1491.6259545464727</v>
      </c>
      <c r="G23" s="330">
        <f>EIA_electricity_aeo2014!I50*1000+EIA_electricity_aeo2014!I55*1000</f>
        <v>1278.9306660294701</v>
      </c>
      <c r="H23" s="330">
        <f>EIA_electricity_aeo2014!J50*1000+EIA_electricity_aeo2014!J55*1000</f>
        <v>1291.0804057986384</v>
      </c>
      <c r="I23" s="330">
        <f>EIA_electricity_aeo2014!K50*1000+EIA_electricity_aeo2014!K55*1000</f>
        <v>1330.9171142177274</v>
      </c>
      <c r="J23" s="330">
        <f>EIA_electricity_aeo2014!L50*1000+EIA_electricity_aeo2014!L55*1000</f>
        <v>1341.7396845742378</v>
      </c>
      <c r="K23" s="330">
        <f>EIA_electricity_aeo2014!M50*1000+EIA_electricity_aeo2014!M55*1000</f>
        <v>1342.8978666133153</v>
      </c>
      <c r="L23" s="330">
        <f>EIA_electricity_aeo2014!N50*1000+EIA_electricity_aeo2014!N55*1000</f>
        <v>1343.3816213941595</v>
      </c>
      <c r="M23" s="330">
        <f>EIA_electricity_aeo2014!O50*1000+EIA_electricity_aeo2014!O55*1000</f>
        <v>1343.2708804540766</v>
      </c>
      <c r="N23" s="330">
        <f>EIA_electricity_aeo2014!P50*1000+EIA_electricity_aeo2014!P55*1000</f>
        <v>1343.3280979163765</v>
      </c>
      <c r="O23" s="330">
        <f>EIA_electricity_aeo2014!Q50*1000+EIA_electricity_aeo2014!Q55*1000</f>
        <v>1342.1560830842157</v>
      </c>
      <c r="P23" s="330">
        <f>EIA_electricity_aeo2014!R50*1000+EIA_electricity_aeo2014!R55*1000</f>
        <v>1341.642304854747</v>
      </c>
      <c r="Q23" s="330">
        <f>EIA_electricity_aeo2014!S50*1000+EIA_electricity_aeo2014!S55*1000</f>
        <v>1341.6573951744745</v>
      </c>
      <c r="R23" s="330">
        <f>EIA_electricity_aeo2014!T50*1000+EIA_electricity_aeo2014!T55*1000</f>
        <v>1341.6763366695488</v>
      </c>
      <c r="S23" s="330">
        <f>EIA_electricity_aeo2014!U50*1000+EIA_electricity_aeo2014!U55*1000</f>
        <v>1341.7218434149768</v>
      </c>
      <c r="T23" s="330">
        <f>EIA_electricity_aeo2014!V50*1000+EIA_electricity_aeo2014!V55*1000</f>
        <v>1341.6412831143489</v>
      </c>
      <c r="U23" s="330">
        <f>EIA_electricity_aeo2014!W50*1000+EIA_electricity_aeo2014!W55*1000</f>
        <v>1341.5460254710697</v>
      </c>
      <c r="V23" s="330">
        <f>EIA_electricity_aeo2014!X50*1000+EIA_electricity_aeo2014!X55*1000</f>
        <v>1341.487236100465</v>
      </c>
      <c r="W23" s="330">
        <f>EIA_electricity_aeo2014!Y50*1000+EIA_electricity_aeo2014!Y55*1000</f>
        <v>1341.448409965333</v>
      </c>
      <c r="X23" s="330">
        <f>EIA_electricity_aeo2014!Z50*1000+EIA_electricity_aeo2014!Z55*1000</f>
        <v>1341.4029818153203</v>
      </c>
      <c r="Y23" s="330">
        <f>EIA_electricity_aeo2014!AA50*1000+EIA_electricity_aeo2014!AA55*1000</f>
        <v>1341.3537024899606</v>
      </c>
      <c r="Z23" s="330">
        <f>EIA_electricity_aeo2014!AB50*1000+EIA_electricity_aeo2014!AB55*1000</f>
        <v>1341.3073311949649</v>
      </c>
      <c r="AA23" s="330">
        <f>EIA_electricity_aeo2014!AC50*1000+EIA_electricity_aeo2014!AC55*1000</f>
        <v>1341.2616672587067</v>
      </c>
      <c r="AB23" s="330">
        <f>EIA_electricity_aeo2014!AD50*1000+EIA_electricity_aeo2014!AD55*1000</f>
        <v>1341.2181253986598</v>
      </c>
      <c r="AC23" s="330">
        <f>EIA_electricity_aeo2014!AE50*1000+EIA_electricity_aeo2014!AE55*1000</f>
        <v>1341.1855868967477</v>
      </c>
      <c r="AD23" s="330">
        <f>EIA_electricity_aeo2014!AF50*1000+EIA_electricity_aeo2014!AF55*1000</f>
        <v>1341.1644447300462</v>
      </c>
      <c r="AE23" s="330">
        <f>EIA_electricity_aeo2014!AG50*1000+EIA_electricity_aeo2014!AG55*1000</f>
        <v>1341.1052623823655</v>
      </c>
      <c r="AF23" s="330">
        <f>EIA_electricity_aeo2014!AH50*1000+EIA_electricity_aeo2014!AH55*1000</f>
        <v>1341.0633710260388</v>
      </c>
      <c r="AG23" s="330">
        <f>EIA_electricity_aeo2014!AI50*1000+EIA_electricity_aeo2014!AI55*1000</f>
        <v>1341.0298893791437</v>
      </c>
      <c r="AH23" s="330">
        <f>EIA_electricity_aeo2014!AJ50*1000+EIA_electricity_aeo2014!AJ55*1000</f>
        <v>1340.9848542062073</v>
      </c>
    </row>
    <row r="24" spans="1:34">
      <c r="A24" s="10" t="s">
        <v>345</v>
      </c>
      <c r="B24" s="37"/>
      <c r="C24" s="330">
        <f>SUM(C22:C23)</f>
        <v>45745</v>
      </c>
      <c r="D24" s="330">
        <f t="shared" ref="D24:AH24" si="4">SUM(D22:D23)</f>
        <v>47841</v>
      </c>
      <c r="E24" s="330">
        <f t="shared" si="4"/>
        <v>47890.444943208735</v>
      </c>
      <c r="F24" s="330">
        <f t="shared" si="4"/>
        <v>49190.47387505127</v>
      </c>
      <c r="G24" s="330">
        <f t="shared" si="4"/>
        <v>46459.579111349136</v>
      </c>
      <c r="H24" s="83">
        <f t="shared" si="4"/>
        <v>48006.238270287438</v>
      </c>
      <c r="I24" s="83">
        <f t="shared" si="4"/>
        <v>51654.606392041918</v>
      </c>
      <c r="J24" s="83">
        <f t="shared" si="4"/>
        <v>51633.916563990279</v>
      </c>
      <c r="K24" s="83">
        <f t="shared" si="4"/>
        <v>52958.75067667017</v>
      </c>
      <c r="L24" s="83">
        <f t="shared" si="4"/>
        <v>53270.960984660131</v>
      </c>
      <c r="M24" s="83">
        <f t="shared" si="4"/>
        <v>53193.506198503434</v>
      </c>
      <c r="N24" s="388">
        <f t="shared" si="4"/>
        <v>53237.448866077742</v>
      </c>
      <c r="O24" s="83">
        <f t="shared" si="4"/>
        <v>51946.102109586958</v>
      </c>
      <c r="P24" s="83">
        <f t="shared" si="4"/>
        <v>51419.146118860226</v>
      </c>
      <c r="Q24" s="83">
        <f t="shared" si="4"/>
        <v>51461.550431305033</v>
      </c>
      <c r="R24" s="83">
        <f t="shared" si="4"/>
        <v>51469.06052558768</v>
      </c>
      <c r="S24" s="83">
        <f t="shared" si="4"/>
        <v>51512.97398733622</v>
      </c>
      <c r="T24" s="83">
        <f t="shared" si="4"/>
        <v>51405.805123434533</v>
      </c>
      <c r="U24" s="83">
        <f t="shared" si="4"/>
        <v>51364.518328603532</v>
      </c>
      <c r="V24" s="83">
        <f t="shared" si="4"/>
        <v>51316.63493133663</v>
      </c>
      <c r="W24" s="83">
        <f t="shared" si="4"/>
        <v>51306.722074154459</v>
      </c>
      <c r="X24" s="184">
        <f t="shared" si="4"/>
        <v>51285.864216770591</v>
      </c>
      <c r="Y24" s="174">
        <f t="shared" si="4"/>
        <v>51241.166390811974</v>
      </c>
      <c r="Z24" s="174">
        <f t="shared" si="4"/>
        <v>51111.750486122299</v>
      </c>
      <c r="AA24" s="174">
        <f t="shared" si="4"/>
        <v>51078.334684539012</v>
      </c>
      <c r="AB24" s="174">
        <f t="shared" si="4"/>
        <v>51068.878879207143</v>
      </c>
      <c r="AC24" s="174">
        <f t="shared" si="4"/>
        <v>51063.824097920158</v>
      </c>
      <c r="AD24" s="174">
        <f t="shared" si="4"/>
        <v>51478.77732099795</v>
      </c>
      <c r="AE24" s="174">
        <f t="shared" si="4"/>
        <v>51935.303759859955</v>
      </c>
      <c r="AF24" s="174">
        <f t="shared" si="4"/>
        <v>52034.733866083443</v>
      </c>
      <c r="AG24" s="174">
        <f t="shared" si="4"/>
        <v>52066.665921000604</v>
      </c>
      <c r="AH24" s="174">
        <f t="shared" si="4"/>
        <v>52123.560068847823</v>
      </c>
    </row>
    <row r="25" spans="1:34">
      <c r="A25" s="10" t="s">
        <v>346</v>
      </c>
      <c r="B25" s="37"/>
      <c r="C25" s="332">
        <f t="shared" ref="C25:AH25" si="5">C24/C4-1</f>
        <v>0</v>
      </c>
      <c r="D25" s="332">
        <f t="shared" si="5"/>
        <v>0</v>
      </c>
      <c r="E25" s="332">
        <f t="shared" si="5"/>
        <v>6.2643015374952427E-7</v>
      </c>
      <c r="F25" s="332">
        <f t="shared" si="5"/>
        <v>6.0987455352545794E-7</v>
      </c>
      <c r="G25" s="332">
        <f t="shared" si="5"/>
        <v>6.4572301217147299E-7</v>
      </c>
      <c r="H25" s="82">
        <f t="shared" si="5"/>
        <v>6.2491917351970017E-7</v>
      </c>
      <c r="I25" s="82">
        <f t="shared" si="5"/>
        <v>5.8078106723868927E-7</v>
      </c>
      <c r="J25" s="82">
        <f t="shared" si="5"/>
        <v>5.810137877482191E-7</v>
      </c>
      <c r="K25" s="82">
        <f t="shared" si="5"/>
        <v>5.6647894086658823E-7</v>
      </c>
      <c r="L25" s="82">
        <f t="shared" si="5"/>
        <v>5.6315892082992036E-7</v>
      </c>
      <c r="M25" s="82">
        <f t="shared" si="5"/>
        <v>5.6397893377635455E-7</v>
      </c>
      <c r="N25" s="199">
        <f t="shared" si="5"/>
        <v>5.6351342037075369E-7</v>
      </c>
      <c r="O25" s="82">
        <f t="shared" si="5"/>
        <v>5.7752201021443739E-7</v>
      </c>
      <c r="P25" s="82">
        <f t="shared" si="5"/>
        <v>5.8344060072101911E-7</v>
      </c>
      <c r="Q25" s="82">
        <f t="shared" si="5"/>
        <v>5.8295984572964699E-7</v>
      </c>
      <c r="R25" s="82">
        <f t="shared" si="5"/>
        <v>5.8287478332808007E-7</v>
      </c>
      <c r="S25" s="82">
        <f t="shared" si="5"/>
        <v>5.8237789724024935E-7</v>
      </c>
      <c r="T25" s="82">
        <f t="shared" si="5"/>
        <v>5.8359201737800959E-7</v>
      </c>
      <c r="U25" s="82">
        <f t="shared" si="5"/>
        <v>5.8406110881037421E-7</v>
      </c>
      <c r="V25" s="82">
        <f t="shared" si="5"/>
        <v>5.846060948666576E-7</v>
      </c>
      <c r="W25" s="82">
        <f t="shared" si="5"/>
        <v>5.8471904540446928E-7</v>
      </c>
      <c r="X25" s="185">
        <f t="shared" si="5"/>
        <v>5.8495684940318426E-7</v>
      </c>
      <c r="Y25" s="172">
        <f t="shared" si="5"/>
        <v>5.8546710945961422E-7</v>
      </c>
      <c r="Z25" s="172">
        <f t="shared" si="5"/>
        <v>5.8694952365101472E-7</v>
      </c>
      <c r="AA25" s="172">
        <f t="shared" si="5"/>
        <v>5.8733351049333749E-7</v>
      </c>
      <c r="AB25" s="172">
        <f t="shared" si="5"/>
        <v>5.8744225994722399E-7</v>
      </c>
      <c r="AC25" s="172">
        <f t="shared" si="5"/>
        <v>5.8750041054267399E-7</v>
      </c>
      <c r="AD25" s="172">
        <f t="shared" si="5"/>
        <v>5.8276476333496419E-7</v>
      </c>
      <c r="AE25" s="172">
        <f t="shared" si="5"/>
        <v>5.7764208838406716E-7</v>
      </c>
      <c r="AF25" s="172">
        <f t="shared" si="5"/>
        <v>5.7653830554116325E-7</v>
      </c>
      <c r="AG25" s="172">
        <f t="shared" si="5"/>
        <v>5.7618471904774538E-7</v>
      </c>
      <c r="AH25" s="172">
        <f t="shared" si="5"/>
        <v>1.9185185951009487E-7</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v>
      </c>
      <c r="D28" s="332">
        <f t="shared" si="6"/>
        <v>0</v>
      </c>
      <c r="E28" s="332">
        <f t="shared" si="6"/>
        <v>7.3776770723050119E-7</v>
      </c>
      <c r="F28" s="332">
        <f t="shared" si="6"/>
        <v>6.257088762318756E-7</v>
      </c>
      <c r="G28" s="332">
        <f t="shared" si="6"/>
        <v>5.2261793436921205E-7</v>
      </c>
      <c r="H28" s="164">
        <f t="shared" si="6"/>
        <v>5.5676530221978444E-7</v>
      </c>
      <c r="I28" s="164">
        <f t="shared" si="6"/>
        <v>5.1585404171347581E-7</v>
      </c>
      <c r="J28" s="164">
        <f t="shared" si="6"/>
        <v>5.3864127194050654E-7</v>
      </c>
      <c r="K28" s="164">
        <f t="shared" si="6"/>
        <v>5.8954952155432027E-7</v>
      </c>
      <c r="L28" s="164">
        <f t="shared" ref="L28:L34" si="7">L10/L$18</f>
        <v>7.2038468141738844E-7</v>
      </c>
      <c r="M28" s="164">
        <f t="shared" ref="M28:AH28" si="8">M10/M$18</f>
        <v>8.0379342819484174E-7</v>
      </c>
      <c r="N28" s="185">
        <f t="shared" si="8"/>
        <v>8.180298088646224E-7</v>
      </c>
      <c r="O28" s="164">
        <f t="shared" si="8"/>
        <v>8.582628126678211E-7</v>
      </c>
      <c r="P28" s="164">
        <f t="shared" si="8"/>
        <v>8.7810171149823491E-7</v>
      </c>
      <c r="Q28" s="164">
        <f t="shared" si="8"/>
        <v>8.927378610070928E-7</v>
      </c>
      <c r="R28" s="164">
        <f t="shared" si="8"/>
        <v>9.226241547237793E-7</v>
      </c>
      <c r="S28" s="164">
        <f t="shared" si="8"/>
        <v>9.331382688843976E-7</v>
      </c>
      <c r="T28" s="164">
        <f t="shared" si="8"/>
        <v>9.8515864566748835E-7</v>
      </c>
      <c r="U28" s="164">
        <f t="shared" si="8"/>
        <v>1.0039382276501136E-6</v>
      </c>
      <c r="V28" s="164">
        <f t="shared" si="8"/>
        <v>1.0115224047371028E-6</v>
      </c>
      <c r="W28" s="164">
        <f t="shared" si="8"/>
        <v>1.0284719181911224E-6</v>
      </c>
      <c r="X28" s="185">
        <f t="shared" si="8"/>
        <v>1.0417876538838462E-6</v>
      </c>
      <c r="Y28" s="172">
        <f t="shared" si="8"/>
        <v>1.0583582187386533E-6</v>
      </c>
      <c r="Z28" s="172">
        <f t="shared" si="8"/>
        <v>1.1186927875484449E-6</v>
      </c>
      <c r="AA28" s="172">
        <f t="shared" si="8"/>
        <v>1.1372854593530632E-6</v>
      </c>
      <c r="AB28" s="172">
        <f t="shared" si="8"/>
        <v>1.1557909735600688E-6</v>
      </c>
      <c r="AC28" s="172">
        <f t="shared" si="8"/>
        <v>1.1781318569941043E-6</v>
      </c>
      <c r="AD28" s="172">
        <f t="shared" si="8"/>
        <v>1.1116551964023461E-6</v>
      </c>
      <c r="AE28" s="172">
        <f t="shared" si="8"/>
        <v>1.0658450386718605E-6</v>
      </c>
      <c r="AF28" s="172">
        <f t="shared" si="8"/>
        <v>1.0650385218403776E-6</v>
      </c>
      <c r="AG28" s="172">
        <f t="shared" si="8"/>
        <v>1.0847666867859318E-6</v>
      </c>
      <c r="AH28" s="172">
        <f t="shared" si="8"/>
        <v>1.0994103059167899E-6</v>
      </c>
    </row>
    <row r="29" spans="1:34">
      <c r="A29" s="9" t="s">
        <v>50</v>
      </c>
      <c r="B29" s="37"/>
      <c r="C29" s="332">
        <f t="shared" ref="C29:K29" si="9">C11/C$18</f>
        <v>0</v>
      </c>
      <c r="D29" s="332">
        <f t="shared" si="9"/>
        <v>0</v>
      </c>
      <c r="E29" s="332">
        <f t="shared" si="9"/>
        <v>5.5341867772394716E-7</v>
      </c>
      <c r="F29" s="332">
        <f t="shared" si="9"/>
        <v>5.0421371751730872E-7</v>
      </c>
      <c r="G29" s="332">
        <f t="shared" si="9"/>
        <v>5.0898216576536691E-7</v>
      </c>
      <c r="H29" s="164">
        <f t="shared" si="9"/>
        <v>5.5349928639650674E-7</v>
      </c>
      <c r="I29" s="164">
        <f t="shared" si="9"/>
        <v>5.1731644214877682E-7</v>
      </c>
      <c r="J29" s="164">
        <f t="shared" si="9"/>
        <v>6.5009005378769908E-7</v>
      </c>
      <c r="K29" s="164">
        <f t="shared" si="9"/>
        <v>8.7028884086635485E-7</v>
      </c>
      <c r="L29" s="164">
        <f t="shared" si="7"/>
        <v>1.0144516762260509E-6</v>
      </c>
      <c r="M29" s="164">
        <f t="shared" ref="M29:AH29" si="10">M11/M$18</f>
        <v>1.0508539927585309E-6</v>
      </c>
      <c r="N29" s="185">
        <f t="shared" si="10"/>
        <v>1.0531621611157108E-6</v>
      </c>
      <c r="O29" s="164">
        <f t="shared" si="10"/>
        <v>1.1288229475626325E-6</v>
      </c>
      <c r="P29" s="164">
        <f t="shared" si="10"/>
        <v>1.2565837773437864E-6</v>
      </c>
      <c r="Q29" s="164">
        <f t="shared" si="10"/>
        <v>1.4120625581539253E-6</v>
      </c>
      <c r="R29" s="164">
        <f t="shared" si="10"/>
        <v>1.5756012431242159E-6</v>
      </c>
      <c r="S29" s="164">
        <f t="shared" si="10"/>
        <v>1.7126533329861889E-6</v>
      </c>
      <c r="T29" s="164">
        <f t="shared" si="10"/>
        <v>1.8819435703185945E-6</v>
      </c>
      <c r="U29" s="164">
        <f t="shared" si="10"/>
        <v>2.0342534971848323E-6</v>
      </c>
      <c r="V29" s="164">
        <f t="shared" si="10"/>
        <v>2.1168857505856917E-6</v>
      </c>
      <c r="W29" s="164">
        <f t="shared" si="10"/>
        <v>2.1362609697023351E-6</v>
      </c>
      <c r="X29" s="185">
        <f t="shared" si="10"/>
        <v>2.2134123469845966E-6</v>
      </c>
      <c r="Y29" s="172">
        <f t="shared" si="10"/>
        <v>2.4108823913982239E-6</v>
      </c>
      <c r="Z29" s="172">
        <f t="shared" si="10"/>
        <v>2.7319458533096408E-6</v>
      </c>
      <c r="AA29" s="172">
        <f t="shared" si="10"/>
        <v>3.0077642032373192E-6</v>
      </c>
      <c r="AB29" s="172">
        <f t="shared" si="10"/>
        <v>3.2675016125482031E-6</v>
      </c>
      <c r="AC29" s="172">
        <f t="shared" si="10"/>
        <v>3.3293752171102359E-6</v>
      </c>
      <c r="AD29" s="172">
        <f t="shared" si="10"/>
        <v>3.1362566799874096E-6</v>
      </c>
      <c r="AE29" s="172">
        <f t="shared" si="10"/>
        <v>2.9258874414595513E-6</v>
      </c>
      <c r="AF29" s="172">
        <f t="shared" si="10"/>
        <v>2.9280171933034192E-6</v>
      </c>
      <c r="AG29" s="172">
        <f t="shared" si="10"/>
        <v>2.978775704137939E-6</v>
      </c>
      <c r="AH29" s="172">
        <f t="shared" si="10"/>
        <v>2.9482426561384968E-6</v>
      </c>
    </row>
    <row r="30" spans="1:34">
      <c r="A30" s="9" t="s">
        <v>51</v>
      </c>
      <c r="B30" s="37"/>
      <c r="C30" s="332">
        <f t="shared" ref="C30:K30" si="11">C12/C$18</f>
        <v>0</v>
      </c>
      <c r="D30" s="332">
        <f t="shared" si="11"/>
        <v>0</v>
      </c>
      <c r="E30" s="332">
        <f t="shared" si="11"/>
        <v>1.9549936793581961E-7</v>
      </c>
      <c r="F30" s="332">
        <f t="shared" si="11"/>
        <v>2.0101782566355551E-7</v>
      </c>
      <c r="G30" s="332">
        <f t="shared" si="11"/>
        <v>2.0383016322107354E-7</v>
      </c>
      <c r="H30" s="164">
        <f t="shared" si="11"/>
        <v>1.8161841833648044E-7</v>
      </c>
      <c r="I30" s="164">
        <f t="shared" si="11"/>
        <v>1.8969897709493914E-7</v>
      </c>
      <c r="J30" s="164">
        <f t="shared" si="11"/>
        <v>1.6360821020698276E-7</v>
      </c>
      <c r="K30" s="164">
        <f t="shared" si="11"/>
        <v>1.8173081579377407E-7</v>
      </c>
      <c r="L30" s="164">
        <f t="shared" si="7"/>
        <v>1.4287257060484618E-7</v>
      </c>
      <c r="M30" s="164">
        <f t="shared" ref="M30:AH30" si="12">M12/M$18</f>
        <v>1.8454095153904043E-7</v>
      </c>
      <c r="N30" s="185">
        <f t="shared" si="12"/>
        <v>2.0342103073158189E-7</v>
      </c>
      <c r="O30" s="164">
        <f t="shared" si="12"/>
        <v>1.8456125464045355E-7</v>
      </c>
      <c r="P30" s="164">
        <f t="shared" si="12"/>
        <v>1.6379172573864462E-7</v>
      </c>
      <c r="Q30" s="164">
        <f t="shared" si="12"/>
        <v>1.8271003428592936E-7</v>
      </c>
      <c r="R30" s="164">
        <f t="shared" si="12"/>
        <v>2.0404320312949794E-7</v>
      </c>
      <c r="S30" s="164">
        <f t="shared" si="12"/>
        <v>1.6327349912395516E-7</v>
      </c>
      <c r="T30" s="164">
        <f t="shared" si="12"/>
        <v>1.8158023673955262E-7</v>
      </c>
      <c r="U30" s="164">
        <f t="shared" si="12"/>
        <v>1.8122652936288755E-7</v>
      </c>
      <c r="V30" s="164">
        <f t="shared" si="12"/>
        <v>1.8362133326201579E-7</v>
      </c>
      <c r="W30" s="164">
        <f t="shared" si="12"/>
        <v>1.6016097774906228E-7</v>
      </c>
      <c r="X30" s="185">
        <f t="shared" si="12"/>
        <v>1.6079157197948487E-7</v>
      </c>
      <c r="Y30" s="172">
        <f t="shared" si="12"/>
        <v>1.8153321957016786E-7</v>
      </c>
      <c r="Z30" s="172">
        <f t="shared" si="12"/>
        <v>1.5920257479557426E-7</v>
      </c>
      <c r="AA30" s="172">
        <f t="shared" si="12"/>
        <v>1.7976864740909327E-7</v>
      </c>
      <c r="AB30" s="172">
        <f t="shared" si="12"/>
        <v>1.7888257009047307E-7</v>
      </c>
      <c r="AC30" s="172">
        <f t="shared" si="12"/>
        <v>1.569239569956191E-7</v>
      </c>
      <c r="AD30" s="172">
        <f t="shared" si="12"/>
        <v>1.6412188611804331E-7</v>
      </c>
      <c r="AE30" s="172">
        <f t="shared" si="12"/>
        <v>1.3315598464871045E-7</v>
      </c>
      <c r="AF30" s="172">
        <f t="shared" si="12"/>
        <v>1.3047340411615685E-7</v>
      </c>
      <c r="AG30" s="172">
        <f t="shared" si="12"/>
        <v>1.2941596613177652E-7</v>
      </c>
      <c r="AH30" s="172">
        <f t="shared" si="12"/>
        <v>1.3033129029810461E-7</v>
      </c>
    </row>
    <row r="31" spans="1:34">
      <c r="A31" s="9" t="s">
        <v>347</v>
      </c>
      <c r="B31" s="37"/>
      <c r="C31" s="332">
        <f t="shared" ref="C31:K31" si="13">C13/C$18</f>
        <v>0</v>
      </c>
      <c r="D31" s="332">
        <f t="shared" si="13"/>
        <v>0</v>
      </c>
      <c r="E31" s="332">
        <f t="shared" si="13"/>
        <v>5.6644695775224895E-6</v>
      </c>
      <c r="F31" s="332">
        <f t="shared" si="13"/>
        <v>4.9627334401309921E-6</v>
      </c>
      <c r="G31" s="332">
        <f t="shared" si="13"/>
        <v>4.2174871576775414E-6</v>
      </c>
      <c r="H31" s="164">
        <f t="shared" si="13"/>
        <v>4.2044487941268801E-6</v>
      </c>
      <c r="I31" s="164">
        <f t="shared" si="13"/>
        <v>3.929599449955424E-6</v>
      </c>
      <c r="J31" s="164">
        <f t="shared" si="13"/>
        <v>3.7877987651604535E-6</v>
      </c>
      <c r="K31" s="164">
        <f t="shared" si="13"/>
        <v>3.7875788229124472E-6</v>
      </c>
      <c r="L31" s="164">
        <f t="shared" si="7"/>
        <v>3.7876707822484041E-6</v>
      </c>
      <c r="M31" s="164">
        <f t="shared" ref="M31:AH31" si="14">M13/M$18</f>
        <v>3.7878897666754949E-6</v>
      </c>
      <c r="N31" s="185">
        <f t="shared" si="14"/>
        <v>3.7879484138410782E-6</v>
      </c>
      <c r="O31" s="164">
        <f t="shared" si="14"/>
        <v>3.7879729523915123E-6</v>
      </c>
      <c r="P31" s="164">
        <f t="shared" si="14"/>
        <v>3.7867386415774761E-6</v>
      </c>
      <c r="Q31" s="164">
        <f t="shared" si="14"/>
        <v>3.7875685494829821E-6</v>
      </c>
      <c r="R31" s="164">
        <f t="shared" si="14"/>
        <v>3.7876327329102403E-6</v>
      </c>
      <c r="S31" s="164">
        <f t="shared" si="14"/>
        <v>3.7839765601953332E-6</v>
      </c>
      <c r="T31" s="164">
        <f t="shared" si="14"/>
        <v>3.7782774660220272E-6</v>
      </c>
      <c r="U31" s="164">
        <f t="shared" si="14"/>
        <v>3.7728649218101303E-6</v>
      </c>
      <c r="V31" s="164">
        <f t="shared" si="14"/>
        <v>3.7703629746148291E-6</v>
      </c>
      <c r="W31" s="164">
        <f t="shared" si="14"/>
        <v>3.7693778457925847E-6</v>
      </c>
      <c r="X31" s="185">
        <f t="shared" si="14"/>
        <v>3.7648765663248296E-6</v>
      </c>
      <c r="Y31" s="172">
        <f t="shared" si="14"/>
        <v>3.7594270225830402E-6</v>
      </c>
      <c r="Z31" s="172">
        <f t="shared" si="14"/>
        <v>3.7540574419406621E-6</v>
      </c>
      <c r="AA31" s="172">
        <f t="shared" si="14"/>
        <v>3.7483725182841817E-6</v>
      </c>
      <c r="AB31" s="172">
        <f t="shared" si="14"/>
        <v>3.7247623819911545E-6</v>
      </c>
      <c r="AC31" s="172">
        <f t="shared" si="14"/>
        <v>3.7085706303505737E-6</v>
      </c>
      <c r="AD31" s="172">
        <f t="shared" si="14"/>
        <v>3.4263524039367381E-6</v>
      </c>
      <c r="AE31" s="172">
        <f t="shared" si="14"/>
        <v>3.1502504862668136E-6</v>
      </c>
      <c r="AF31" s="172">
        <f t="shared" si="14"/>
        <v>3.0821929540445094E-6</v>
      </c>
      <c r="AG31" s="172">
        <f t="shared" si="14"/>
        <v>3.0586714130518371E-6</v>
      </c>
      <c r="AH31" s="172">
        <f t="shared" si="14"/>
        <v>0</v>
      </c>
    </row>
    <row r="32" spans="1:34">
      <c r="A32" s="9" t="s">
        <v>348</v>
      </c>
      <c r="B32" s="37"/>
      <c r="C32" s="332">
        <f t="shared" ref="C32:K32" si="15">C14/C$18</f>
        <v>0</v>
      </c>
      <c r="D32" s="332">
        <f t="shared" si="15"/>
        <v>0</v>
      </c>
      <c r="E32" s="332">
        <f t="shared" si="15"/>
        <v>2.8322347887612448E-6</v>
      </c>
      <c r="F32" s="332">
        <f t="shared" si="15"/>
        <v>2.481366720065496E-6</v>
      </c>
      <c r="G32" s="332">
        <f t="shared" si="15"/>
        <v>2.1087435788387707E-6</v>
      </c>
      <c r="H32" s="164">
        <f t="shared" si="15"/>
        <v>2.1022243970634401E-6</v>
      </c>
      <c r="I32" s="164">
        <f t="shared" si="15"/>
        <v>1.964799724977712E-6</v>
      </c>
      <c r="J32" s="164">
        <f t="shared" si="15"/>
        <v>1.8938993825802267E-6</v>
      </c>
      <c r="K32" s="164">
        <f t="shared" si="15"/>
        <v>1.8937894114562236E-6</v>
      </c>
      <c r="L32" s="164">
        <f t="shared" si="7"/>
        <v>1.8938353911242021E-6</v>
      </c>
      <c r="M32" s="164">
        <f t="shared" ref="M32:AH32" si="16">M14/M$18</f>
        <v>1.8939448833377475E-6</v>
      </c>
      <c r="N32" s="185">
        <f t="shared" si="16"/>
        <v>1.8939742069205391E-6</v>
      </c>
      <c r="O32" s="164">
        <f t="shared" si="16"/>
        <v>1.8939864761957562E-6</v>
      </c>
      <c r="P32" s="164">
        <f t="shared" si="16"/>
        <v>1.8933693207887381E-6</v>
      </c>
      <c r="Q32" s="164">
        <f t="shared" si="16"/>
        <v>1.8937842747414911E-6</v>
      </c>
      <c r="R32" s="164">
        <f t="shared" si="16"/>
        <v>1.8938163664551202E-6</v>
      </c>
      <c r="S32" s="164">
        <f t="shared" si="16"/>
        <v>1.8919882800976666E-6</v>
      </c>
      <c r="T32" s="164">
        <f t="shared" si="16"/>
        <v>1.8891387330110136E-6</v>
      </c>
      <c r="U32" s="164">
        <f t="shared" si="16"/>
        <v>1.8864324609050651E-6</v>
      </c>
      <c r="V32" s="164">
        <f t="shared" si="16"/>
        <v>1.8851814873074146E-6</v>
      </c>
      <c r="W32" s="164">
        <f t="shared" si="16"/>
        <v>1.8846889228962923E-6</v>
      </c>
      <c r="X32" s="185">
        <f t="shared" si="16"/>
        <v>1.8824382831624148E-6</v>
      </c>
      <c r="Y32" s="172">
        <f t="shared" si="16"/>
        <v>1.8797135112915201E-6</v>
      </c>
      <c r="Z32" s="172">
        <f t="shared" si="16"/>
        <v>1.8770287209703311E-6</v>
      </c>
      <c r="AA32" s="172">
        <f t="shared" si="16"/>
        <v>1.8741862591420908E-6</v>
      </c>
      <c r="AB32" s="172">
        <f t="shared" si="16"/>
        <v>1.8623811909955772E-6</v>
      </c>
      <c r="AC32" s="172">
        <f t="shared" si="16"/>
        <v>1.8542853151752869E-6</v>
      </c>
      <c r="AD32" s="172">
        <f t="shared" si="16"/>
        <v>1.7131762019683691E-6</v>
      </c>
      <c r="AE32" s="172">
        <f t="shared" si="16"/>
        <v>1.5751252431334068E-6</v>
      </c>
      <c r="AF32" s="172">
        <f t="shared" si="16"/>
        <v>1.5410964770222547E-6</v>
      </c>
      <c r="AG32" s="172">
        <f t="shared" si="16"/>
        <v>1.5293357065259186E-6</v>
      </c>
      <c r="AH32" s="172">
        <f t="shared" si="16"/>
        <v>1.5091509861850836E-6</v>
      </c>
    </row>
    <row r="33" spans="1:36">
      <c r="A33" s="9" t="s">
        <v>344</v>
      </c>
      <c r="B33" s="37"/>
      <c r="C33" s="332">
        <f t="shared" ref="C33:K33" si="17">C15/C$18</f>
        <v>4.492342801694511E-6</v>
      </c>
      <c r="D33" s="332">
        <f t="shared" si="17"/>
        <v>3.0797564528597077E-6</v>
      </c>
      <c r="E33" s="332">
        <f t="shared" si="17"/>
        <v>2.8322347887612448E-6</v>
      </c>
      <c r="F33" s="332">
        <f t="shared" si="17"/>
        <v>2.481366720065496E-6</v>
      </c>
      <c r="G33" s="332">
        <f t="shared" si="17"/>
        <v>2.1087435788387707E-6</v>
      </c>
      <c r="H33" s="164">
        <f t="shared" si="17"/>
        <v>2.1022243970634401E-6</v>
      </c>
      <c r="I33" s="164">
        <f t="shared" si="17"/>
        <v>1.964799724977712E-6</v>
      </c>
      <c r="J33" s="164">
        <f t="shared" si="17"/>
        <v>1.8938993825802267E-6</v>
      </c>
      <c r="K33" s="164">
        <f t="shared" si="17"/>
        <v>1.8937894114562236E-6</v>
      </c>
      <c r="L33" s="164">
        <f t="shared" si="7"/>
        <v>1.8938353911242021E-6</v>
      </c>
      <c r="M33" s="164">
        <f t="shared" ref="M33:AH33" si="18">M15/M$18</f>
        <v>1.8939448833377475E-6</v>
      </c>
      <c r="N33" s="185">
        <f t="shared" si="18"/>
        <v>1.8939742069205391E-6</v>
      </c>
      <c r="O33" s="164">
        <f t="shared" si="18"/>
        <v>1.8939864761957562E-6</v>
      </c>
      <c r="P33" s="164">
        <f t="shared" si="18"/>
        <v>1.8933693207887381E-6</v>
      </c>
      <c r="Q33" s="164">
        <f t="shared" si="18"/>
        <v>1.8937842747414911E-6</v>
      </c>
      <c r="R33" s="164">
        <f t="shared" si="18"/>
        <v>1.8938163664551202E-6</v>
      </c>
      <c r="S33" s="164">
        <f t="shared" si="18"/>
        <v>1.8919882800976666E-6</v>
      </c>
      <c r="T33" s="164">
        <f t="shared" si="18"/>
        <v>1.8891387330110136E-6</v>
      </c>
      <c r="U33" s="164">
        <f t="shared" si="18"/>
        <v>1.8864324609050651E-6</v>
      </c>
      <c r="V33" s="164">
        <f t="shared" si="18"/>
        <v>1.8851814873074146E-6</v>
      </c>
      <c r="W33" s="164">
        <f t="shared" si="18"/>
        <v>1.8846889228962923E-6</v>
      </c>
      <c r="X33" s="185">
        <f t="shared" si="18"/>
        <v>1.8824382831624148E-6</v>
      </c>
      <c r="Y33" s="172">
        <f t="shared" si="18"/>
        <v>1.8797135112915201E-6</v>
      </c>
      <c r="Z33" s="172">
        <f t="shared" si="18"/>
        <v>1.8770287209703311E-6</v>
      </c>
      <c r="AA33" s="172">
        <f t="shared" si="18"/>
        <v>1.8741862591420908E-6</v>
      </c>
      <c r="AB33" s="172">
        <f t="shared" si="18"/>
        <v>1.8623811909955772E-6</v>
      </c>
      <c r="AC33" s="172">
        <f t="shared" si="18"/>
        <v>1.8542853151752869E-6</v>
      </c>
      <c r="AD33" s="172">
        <f t="shared" si="18"/>
        <v>1.7131762019683691E-6</v>
      </c>
      <c r="AE33" s="172">
        <f t="shared" si="18"/>
        <v>1.5751252431334068E-6</v>
      </c>
      <c r="AF33" s="172">
        <f t="shared" si="18"/>
        <v>1.5410964770222547E-6</v>
      </c>
      <c r="AG33" s="172">
        <f t="shared" si="18"/>
        <v>1.5293357065259186E-6</v>
      </c>
      <c r="AH33" s="172">
        <f t="shared" si="18"/>
        <v>1.5091509861850836E-6</v>
      </c>
    </row>
    <row r="34" spans="1:36">
      <c r="A34" s="9" t="s">
        <v>53</v>
      </c>
      <c r="B34" s="37"/>
      <c r="C34" s="332">
        <f t="shared" ref="C34:K34" si="19">C16/C$18</f>
        <v>0.99999550765719825</v>
      </c>
      <c r="D34" s="332">
        <f t="shared" si="19"/>
        <v>0.99999692024354703</v>
      </c>
      <c r="E34" s="332">
        <f t="shared" si="19"/>
        <v>0.99998718437509204</v>
      </c>
      <c r="F34" s="332">
        <f t="shared" si="19"/>
        <v>0.9999887435927004</v>
      </c>
      <c r="G34" s="332">
        <f t="shared" si="19"/>
        <v>0.99999032959542133</v>
      </c>
      <c r="H34" s="164">
        <f t="shared" si="19"/>
        <v>0.99999029921940485</v>
      </c>
      <c r="I34" s="164">
        <f t="shared" si="19"/>
        <v>0.99999091793163908</v>
      </c>
      <c r="J34" s="164">
        <f t="shared" si="19"/>
        <v>0.99999107206293381</v>
      </c>
      <c r="K34" s="164">
        <f t="shared" si="19"/>
        <v>0.99999078327317592</v>
      </c>
      <c r="L34" s="164">
        <f t="shared" si="7"/>
        <v>0.99999054694950729</v>
      </c>
      <c r="M34" s="164">
        <f t="shared" ref="M34:AH34" si="20">M16/M$18</f>
        <v>0.99999038503209425</v>
      </c>
      <c r="N34" s="185">
        <f t="shared" si="20"/>
        <v>0.99999034949017163</v>
      </c>
      <c r="O34" s="164">
        <f t="shared" si="20"/>
        <v>0.99999025240708028</v>
      </c>
      <c r="P34" s="164">
        <f t="shared" si="20"/>
        <v>0.99999012804550225</v>
      </c>
      <c r="Q34" s="164">
        <f t="shared" si="20"/>
        <v>0.99998993735244757</v>
      </c>
      <c r="R34" s="164">
        <f t="shared" si="20"/>
        <v>0.99998972246593321</v>
      </c>
      <c r="S34" s="164">
        <f t="shared" si="20"/>
        <v>0.99998962298177863</v>
      </c>
      <c r="T34" s="164">
        <f t="shared" si="20"/>
        <v>0.99998939476261528</v>
      </c>
      <c r="U34" s="164">
        <f t="shared" si="20"/>
        <v>0.99998923485190228</v>
      </c>
      <c r="V34" s="164">
        <f t="shared" si="20"/>
        <v>0.99998914724456223</v>
      </c>
      <c r="W34" s="164">
        <f t="shared" si="20"/>
        <v>0.99998913635044273</v>
      </c>
      <c r="X34" s="185">
        <f t="shared" si="20"/>
        <v>0.9999890542552945</v>
      </c>
      <c r="Y34" s="172">
        <f t="shared" si="20"/>
        <v>0.99998883037212505</v>
      </c>
      <c r="Z34" s="172">
        <f t="shared" si="20"/>
        <v>0.99998848204390045</v>
      </c>
      <c r="AA34" s="172">
        <f t="shared" si="20"/>
        <v>0.99998817843665344</v>
      </c>
      <c r="AB34" s="172">
        <f t="shared" si="20"/>
        <v>0.99998794830007987</v>
      </c>
      <c r="AC34" s="172">
        <f t="shared" si="20"/>
        <v>0.99998791842770818</v>
      </c>
      <c r="AD34" s="172">
        <f t="shared" si="20"/>
        <v>0.99998873526142973</v>
      </c>
      <c r="AE34" s="172">
        <f t="shared" si="20"/>
        <v>0.9999895746105627</v>
      </c>
      <c r="AF34" s="172">
        <f t="shared" si="20"/>
        <v>0.99998971208497256</v>
      </c>
      <c r="AG34" s="172">
        <f t="shared" si="20"/>
        <v>0.99998968969881685</v>
      </c>
      <c r="AH34" s="172">
        <f t="shared" si="20"/>
        <v>0.9999928037137753</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145.04849999999999</v>
      </c>
      <c r="D42" s="331">
        <f>D7*Inputs!$C$48</f>
        <v>153.5985</v>
      </c>
      <c r="E42" s="331">
        <f>E7*Inputs!$C$48</f>
        <v>160.15434599787858</v>
      </c>
      <c r="F42" s="331">
        <f>F7*Inputs!$C$48</f>
        <v>150.54164685941939</v>
      </c>
      <c r="G42" s="331">
        <f>G7*Inputs!$C$48</f>
        <v>123.80633688297803</v>
      </c>
      <c r="H42" s="14">
        <f>H7*Inputs!$C$48</f>
        <v>126.43970269938364</v>
      </c>
      <c r="I42" s="14">
        <f>I7*Inputs!$C$48</f>
        <v>128.52276167863627</v>
      </c>
      <c r="J42" s="14">
        <f>J7*Inputs!$C$48</f>
        <v>130.79243393806928</v>
      </c>
      <c r="K42" s="14">
        <f>K7*Inputs!$C$48</f>
        <v>132.38824350139944</v>
      </c>
      <c r="L42" s="14">
        <f>L7*Inputs!$C$48</f>
        <v>131.82063094589628</v>
      </c>
      <c r="M42" s="14">
        <f>M7*Inputs!$C$48</f>
        <v>131.82067438543118</v>
      </c>
      <c r="N42" s="190">
        <f>N7*Inputs!$C$48</f>
        <v>131.82063094589628</v>
      </c>
      <c r="O42" s="14">
        <f>O7*Inputs!$C$48</f>
        <v>132.50235521055541</v>
      </c>
      <c r="P42" s="14">
        <f>P7*Inputs!$C$48</f>
        <v>132.50231177102049</v>
      </c>
      <c r="Q42" s="14">
        <f>Q7*Inputs!$C$48</f>
        <v>132.50229696208817</v>
      </c>
      <c r="R42" s="14">
        <f>R7*Inputs!$C$48</f>
        <v>132.50229696208817</v>
      </c>
      <c r="S42" s="14">
        <f>S7*Inputs!$C$48</f>
        <v>132.50229696208817</v>
      </c>
      <c r="T42" s="14">
        <f>T7*Inputs!$C$48</f>
        <v>132.50228116589363</v>
      </c>
      <c r="U42" s="14">
        <f>U7*Inputs!$C$48</f>
        <v>132.50228116589363</v>
      </c>
      <c r="V42" s="14">
        <f>V7*Inputs!$C$48</f>
        <v>132.50228116589363</v>
      </c>
      <c r="W42" s="14">
        <f>W7*Inputs!$C$48</f>
        <v>133.30263880038783</v>
      </c>
      <c r="X42" s="187">
        <f>X7*Inputs!$C$48</f>
        <v>133.30263880038783</v>
      </c>
      <c r="Y42" s="14">
        <f>Y7*Inputs!$C$48</f>
        <v>133.4762863666601</v>
      </c>
      <c r="Z42" s="14">
        <f>Z7*Inputs!$C$48</f>
        <v>133.47628735392226</v>
      </c>
      <c r="AA42" s="14">
        <f>AA7*Inputs!$C$48</f>
        <v>133.47628735392226</v>
      </c>
      <c r="AB42" s="14">
        <f>AB7*Inputs!$C$48</f>
        <v>133.47628735392226</v>
      </c>
      <c r="AC42" s="14">
        <f>AC7*Inputs!$C$48</f>
        <v>133.73179474920531</v>
      </c>
      <c r="AD42" s="14">
        <f>AD7*Inputs!$C$48</f>
        <v>133.73183917600235</v>
      </c>
      <c r="AE42" s="14">
        <f>AE7*Inputs!$C$48</f>
        <v>133.73180857087553</v>
      </c>
      <c r="AF42" s="14">
        <f>AF7*Inputs!$C$48</f>
        <v>133.7317631568163</v>
      </c>
      <c r="AG42" s="14">
        <f>AG7*Inputs!$C$48</f>
        <v>134.34892146366906</v>
      </c>
      <c r="AH42" s="14">
        <f>AH7*Inputs!$C$48</f>
        <v>134.34890764199886</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0</v>
      </c>
      <c r="D44" s="331">
        <f>D10*Inputs!$C$46</f>
        <v>0</v>
      </c>
      <c r="E44" s="331">
        <f>E10*Inputs!$C$46</f>
        <v>5.4702815999999998E-4</v>
      </c>
      <c r="F44" s="331">
        <f>F10*Inputs!$C$46</f>
        <v>5.2954229999999992E-4</v>
      </c>
      <c r="G44" s="331">
        <f>G10*Inputs!$C$46</f>
        <v>5.2045097999999987E-4</v>
      </c>
      <c r="H44" s="14">
        <f>H10*Inputs!$C$46</f>
        <v>5.5617618000000006E-4</v>
      </c>
      <c r="I44" s="14">
        <f>I10*Inputs!$C$46</f>
        <v>5.5135058999999985E-4</v>
      </c>
      <c r="J44" s="14">
        <f>J10*Inputs!$C$46</f>
        <v>5.972580599999999E-4</v>
      </c>
      <c r="K44" s="14">
        <f>K10*Inputs!$C$46</f>
        <v>6.5374427999999991E-4</v>
      </c>
      <c r="L44" s="14">
        <f>L10*Inputs!$C$46</f>
        <v>7.9880639999999991E-4</v>
      </c>
      <c r="M44" s="14">
        <f>M10*Inputs!$C$46</f>
        <v>8.9124357E-4</v>
      </c>
      <c r="N44" s="190">
        <f>N10*Inputs!$C$46</f>
        <v>9.0701477999999985E-4</v>
      </c>
      <c r="O44" s="14">
        <f>O10*Inputs!$C$46</f>
        <v>9.5161814999999994E-4</v>
      </c>
      <c r="P44" s="14">
        <f>P10*Inputs!$C$46</f>
        <v>9.7393233000000004E-4</v>
      </c>
      <c r="Q44" s="14">
        <f>Q10*Inputs!$C$46</f>
        <v>9.8994882000000002E-4</v>
      </c>
      <c r="R44" s="14">
        <f>R10*Inputs!$C$46</f>
        <v>1.02307212E-3</v>
      </c>
      <c r="S44" s="14">
        <f>S10*Inputs!$C$46</f>
        <v>1.0357307099999999E-3</v>
      </c>
      <c r="T44" s="14">
        <f>T10*Inputs!$C$46</f>
        <v>1.0951197600000001E-3</v>
      </c>
      <c r="U44" s="14">
        <f>U10*Inputs!$C$46</f>
        <v>1.11759648E-3</v>
      </c>
      <c r="V44" s="14">
        <f>V10*Inputs!$C$46</f>
        <v>1.1267864999999998E-3</v>
      </c>
      <c r="W44" s="14">
        <f>W10*Inputs!$C$46</f>
        <v>1.1459668500000001E-3</v>
      </c>
      <c r="X44" s="187">
        <f>X10*Inputs!$C$46</f>
        <v>1.1621916600000001E-3</v>
      </c>
      <c r="Y44" s="14">
        <f>Y10*Inputs!$C$46</f>
        <v>1.1823888299999999E-3</v>
      </c>
      <c r="Z44" s="14">
        <f>Z10*Inputs!$C$46</f>
        <v>1.25158173E-3</v>
      </c>
      <c r="AA44" s="14">
        <f>AA10*Inputs!$C$46</f>
        <v>1.2743127599999999E-3</v>
      </c>
      <c r="AB44" s="14">
        <f>AB10*Inputs!$C$46</f>
        <v>1.3032568499999999E-3</v>
      </c>
      <c r="AC44" s="14">
        <f>AC10*Inputs!$C$46</f>
        <v>1.3342482300000001E-3</v>
      </c>
      <c r="AD44" s="14">
        <f>AD10*Inputs!$C$46</f>
        <v>1.36265955E-3</v>
      </c>
      <c r="AE44" s="14">
        <f>AE10*Inputs!$C$46</f>
        <v>1.42101372E-3</v>
      </c>
      <c r="AF44" s="14">
        <f>AF10*Inputs!$C$46</f>
        <v>1.4512919399999997E-3</v>
      </c>
      <c r="AG44" s="14">
        <f>AG10*Inputs!$C$46</f>
        <v>1.4895421799999999E-3</v>
      </c>
      <c r="AH44" s="14">
        <f>AH10*Inputs!$C$46</f>
        <v>1.5298413899999996E-3</v>
      </c>
    </row>
    <row r="45" spans="1:36" ht="15">
      <c r="A45" s="8" t="s">
        <v>50</v>
      </c>
      <c r="B45" s="34">
        <v>1</v>
      </c>
      <c r="C45" s="331">
        <f>C11*Inputs!$C$49</f>
        <v>0</v>
      </c>
      <c r="D45" s="331">
        <f>D11*Inputs!$C$49</f>
        <v>0</v>
      </c>
      <c r="E45" s="331">
        <f>E11*Inputs!$C$49</f>
        <v>4.885E-4</v>
      </c>
      <c r="F45" s="331">
        <f>F11*Inputs!$C$49</f>
        <v>5.0799999999999999E-4</v>
      </c>
      <c r="G45" s="331">
        <f>G11*Inputs!$C$49</f>
        <v>6.0341874999999992E-4</v>
      </c>
      <c r="H45" s="14">
        <f>H11*Inputs!$C$49</f>
        <v>6.5823050000000005E-4</v>
      </c>
      <c r="I45" s="14">
        <f>I11*Inputs!$C$49</f>
        <v>6.5823050000000005E-4</v>
      </c>
      <c r="J45" s="14">
        <f>J11*Inputs!$C$49</f>
        <v>8.5813699999999992E-4</v>
      </c>
      <c r="K45" s="14">
        <f>K11*Inputs!$C$49</f>
        <v>1.1488722499999999E-3</v>
      </c>
      <c r="L45" s="14">
        <f>L11*Inputs!$C$49</f>
        <v>1.33914975E-3</v>
      </c>
      <c r="M45" s="14">
        <f>M11*Inputs!$C$49</f>
        <v>1.38712325E-3</v>
      </c>
      <c r="N45" s="190">
        <f>N11*Inputs!$C$49</f>
        <v>1.3901485000000001E-3</v>
      </c>
      <c r="O45" s="14">
        <f>O11*Inputs!$C$49</f>
        <v>1.4900092499999999E-3</v>
      </c>
      <c r="P45" s="14">
        <f>P11*Inputs!$C$49</f>
        <v>1.6591899999999998E-3</v>
      </c>
      <c r="Q45" s="14">
        <f>Q11*Inputs!$C$49</f>
        <v>1.8640752499999998E-3</v>
      </c>
      <c r="R45" s="14">
        <f>R11*Inputs!$C$49</f>
        <v>2.07992875E-3</v>
      </c>
      <c r="S45" s="14">
        <f>S11*Inputs!$C$49</f>
        <v>2.2630337499999998E-3</v>
      </c>
      <c r="T45" s="14">
        <f>T11*Inputs!$C$49</f>
        <v>2.4904782499999998E-3</v>
      </c>
      <c r="U45" s="14">
        <f>U11*Inputs!$C$49</f>
        <v>2.6959002500000001E-3</v>
      </c>
      <c r="V45" s="14">
        <f>V11*Inputs!$C$49</f>
        <v>2.8072704999999999E-3</v>
      </c>
      <c r="W45" s="14">
        <f>W11*Inputs!$C$49</f>
        <v>2.8337050000000002E-3</v>
      </c>
      <c r="X45" s="187">
        <f>X11*Inputs!$C$49</f>
        <v>2.9395549999999995E-3</v>
      </c>
      <c r="Y45" s="14">
        <f>Y11*Inputs!$C$49</f>
        <v>3.2064492499999995E-3</v>
      </c>
      <c r="Z45" s="14">
        <f>Z11*Inputs!$C$49</f>
        <v>3.6386574999999997E-3</v>
      </c>
      <c r="AA45" s="14">
        <f>AA11*Inputs!$C$49</f>
        <v>4.0120935000000002E-3</v>
      </c>
      <c r="AB45" s="14">
        <f>AB11*Inputs!$C$49</f>
        <v>4.3861879999999992E-3</v>
      </c>
      <c r="AC45" s="14">
        <f>AC11*Inputs!$C$49</f>
        <v>4.4887579999999998E-3</v>
      </c>
      <c r="AD45" s="14">
        <f>AD11*Inputs!$C$49</f>
        <v>4.5766697499999998E-3</v>
      </c>
      <c r="AE45" s="14">
        <f>AE11*Inputs!$C$49</f>
        <v>4.6438965000000004E-3</v>
      </c>
      <c r="AF45" s="14">
        <f>AF11*Inputs!$C$49</f>
        <v>4.7498927499999991E-3</v>
      </c>
      <c r="AG45" s="14">
        <f>AG11*Inputs!$C$49</f>
        <v>4.8693947499999996E-3</v>
      </c>
      <c r="AH45" s="14">
        <f>AH11*Inputs!$C$49</f>
        <v>4.8839424999999994E-3</v>
      </c>
    </row>
    <row r="46" spans="1:36" ht="15">
      <c r="A46" s="8" t="s">
        <v>51</v>
      </c>
      <c r="B46" s="34">
        <v>1</v>
      </c>
      <c r="C46" s="331">
        <f>C12*Inputs!$C$52</f>
        <v>0</v>
      </c>
      <c r="D46" s="331">
        <f>D12*Inputs!$C$52</f>
        <v>0</v>
      </c>
      <c r="E46" s="331">
        <f>E12*Inputs!$C$52</f>
        <v>1.0353981E-4</v>
      </c>
      <c r="F46" s="331">
        <f>F12*Inputs!$C$52</f>
        <v>1.21516395E-4</v>
      </c>
      <c r="G46" s="331">
        <f>G12*Inputs!$C$52</f>
        <v>1.44989295E-4</v>
      </c>
      <c r="H46" s="14">
        <f>H12*Inputs!$C$52</f>
        <v>1.2959017499999999E-4</v>
      </c>
      <c r="I46" s="14">
        <f>I12*Inputs!$C$52</f>
        <v>1.4482313999999999E-4</v>
      </c>
      <c r="J46" s="14">
        <f>J12*Inputs!$C$52</f>
        <v>1.2958043999999999E-4</v>
      </c>
      <c r="K46" s="14">
        <f>K12*Inputs!$C$52</f>
        <v>1.4394220500000001E-4</v>
      </c>
      <c r="L46" s="14">
        <f>L12*Inputs!$C$52</f>
        <v>1.1316129000000002E-4</v>
      </c>
      <c r="M46" s="14">
        <f>M12*Inputs!$C$52</f>
        <v>1.4615601E-4</v>
      </c>
      <c r="N46" s="190">
        <f>N12*Inputs!$C$52</f>
        <v>1.61106495E-4</v>
      </c>
      <c r="O46" s="14">
        <f>O12*Inputs!$C$52</f>
        <v>1.4616887999999999E-4</v>
      </c>
      <c r="P46" s="14">
        <f>P12*Inputs!$C$52</f>
        <v>1.29762105E-4</v>
      </c>
      <c r="Q46" s="14">
        <f>Q12*Inputs!$C$52</f>
        <v>1.4471819999999999E-4</v>
      </c>
      <c r="R46" s="14">
        <f>R12*Inputs!$C$52</f>
        <v>1.6161271500000001E-4</v>
      </c>
      <c r="S46" s="14">
        <f>S12*Inputs!$C$52</f>
        <v>1.29445965E-4</v>
      </c>
      <c r="T46" s="14">
        <f>T12*Inputs!$C$52</f>
        <v>1.44177E-4</v>
      </c>
      <c r="U46" s="14">
        <f>U12*Inputs!$C$52</f>
        <v>1.44102585E-4</v>
      </c>
      <c r="V46" s="14">
        <f>V12*Inputs!$C$52</f>
        <v>1.4610370499999997E-4</v>
      </c>
      <c r="W46" s="14">
        <f>W12*Inputs!$C$52</f>
        <v>1.2747008999999999E-4</v>
      </c>
      <c r="X46" s="187">
        <f>X12*Inputs!$C$52</f>
        <v>1.28124975E-4</v>
      </c>
      <c r="Y46" s="14">
        <f>Y12*Inputs!$C$52</f>
        <v>1.4486240999999998E-4</v>
      </c>
      <c r="Z46" s="14">
        <f>Z12*Inputs!$C$52</f>
        <v>1.2722440499999998E-4</v>
      </c>
      <c r="AA46" s="14">
        <f>AA12*Inputs!$C$52</f>
        <v>1.4387735999999999E-4</v>
      </c>
      <c r="AB46" s="14">
        <f>AB12*Inputs!$C$52</f>
        <v>1.4407569000000003E-4</v>
      </c>
      <c r="AC46" s="14">
        <f>AC12*Inputs!$C$52</f>
        <v>1.26941595E-4</v>
      </c>
      <c r="AD46" s="14">
        <f>AD12*Inputs!$C$52</f>
        <v>1.4369965499999999E-4</v>
      </c>
      <c r="AE46" s="14">
        <f>AE12*Inputs!$C$52</f>
        <v>1.2680514E-4</v>
      </c>
      <c r="AF46" s="14">
        <f>AF12*Inputs!$C$52</f>
        <v>1.2699406500000002E-4</v>
      </c>
      <c r="AG46" s="14">
        <f>AG12*Inputs!$C$52</f>
        <v>1.2693351000000002E-4</v>
      </c>
      <c r="AH46" s="14">
        <f>AH12*Inputs!$C$52</f>
        <v>1.2954100500000003E-4</v>
      </c>
    </row>
    <row r="47" spans="1:36" ht="15">
      <c r="A47" s="8" t="s">
        <v>347</v>
      </c>
      <c r="B47" s="34">
        <v>1</v>
      </c>
      <c r="C47" s="331">
        <f>C13*Inputs!$C$54</f>
        <v>0</v>
      </c>
      <c r="D47" s="331">
        <f>D13*Inputs!$C$54</f>
        <v>0</v>
      </c>
      <c r="E47" s="331">
        <f>E13*Inputs!$C$54</f>
        <v>1.5800000000000002E-2</v>
      </c>
      <c r="F47" s="331">
        <f>F13*Inputs!$C$54</f>
        <v>1.5800000000000002E-2</v>
      </c>
      <c r="G47" s="331">
        <f>G13*Inputs!$C$54</f>
        <v>1.5800000000000002E-2</v>
      </c>
      <c r="H47" s="14">
        <f>H13*Inputs!$C$54</f>
        <v>1.5800000000000002E-2</v>
      </c>
      <c r="I47" s="14">
        <f>I13*Inputs!$C$54</f>
        <v>1.5800000000000002E-2</v>
      </c>
      <c r="J47" s="14">
        <f>J13*Inputs!$C$54</f>
        <v>1.5800000000000002E-2</v>
      </c>
      <c r="K47" s="14">
        <f>K13*Inputs!$C$54</f>
        <v>1.5800000000000002E-2</v>
      </c>
      <c r="L47" s="14">
        <f>L13*Inputs!$C$54</f>
        <v>1.5800000000000002E-2</v>
      </c>
      <c r="M47" s="14">
        <f>M13*Inputs!$C$54</f>
        <v>1.5800000000000002E-2</v>
      </c>
      <c r="N47" s="190">
        <f>N13*Inputs!$C$54</f>
        <v>1.5800000000000002E-2</v>
      </c>
      <c r="O47" s="14">
        <f>O13*Inputs!$C$54</f>
        <v>1.5800000000000002E-2</v>
      </c>
      <c r="P47" s="14">
        <f>P13*Inputs!$C$54</f>
        <v>1.5800000000000002E-2</v>
      </c>
      <c r="Q47" s="14">
        <f>Q13*Inputs!$C$54</f>
        <v>1.5800000000000002E-2</v>
      </c>
      <c r="R47" s="14">
        <f>R13*Inputs!$C$54</f>
        <v>1.5800000000000002E-2</v>
      </c>
      <c r="S47" s="14">
        <f>S13*Inputs!$C$54</f>
        <v>1.5800000000000002E-2</v>
      </c>
      <c r="T47" s="14">
        <f>T13*Inputs!$C$54</f>
        <v>1.5800000000000002E-2</v>
      </c>
      <c r="U47" s="14">
        <f>U13*Inputs!$C$54</f>
        <v>1.5800000000000002E-2</v>
      </c>
      <c r="V47" s="14">
        <f>V13*Inputs!$C$54</f>
        <v>1.5800000000000002E-2</v>
      </c>
      <c r="W47" s="14">
        <f>W13*Inputs!$C$54</f>
        <v>1.5800000000000002E-2</v>
      </c>
      <c r="X47" s="187">
        <f>X13*Inputs!$C$54</f>
        <v>1.5800000000000002E-2</v>
      </c>
      <c r="Y47" s="14">
        <f>Y13*Inputs!$C$54</f>
        <v>1.5800000000000002E-2</v>
      </c>
      <c r="Z47" s="14">
        <f>Z13*Inputs!$C$54</f>
        <v>1.5800000000000002E-2</v>
      </c>
      <c r="AA47" s="14">
        <f>AA13*Inputs!$C$54</f>
        <v>1.5800000000000002E-2</v>
      </c>
      <c r="AB47" s="14">
        <f>AB13*Inputs!$C$54</f>
        <v>1.5800000000000002E-2</v>
      </c>
      <c r="AC47" s="14">
        <f>AC13*Inputs!$C$54</f>
        <v>1.5800000000000002E-2</v>
      </c>
      <c r="AD47" s="14">
        <f>AD13*Inputs!$C$54</f>
        <v>1.5800000000000002E-2</v>
      </c>
      <c r="AE47" s="14">
        <f>AE13*Inputs!$C$54</f>
        <v>1.5800000000000002E-2</v>
      </c>
      <c r="AF47" s="14">
        <f>AF13*Inputs!$C$54</f>
        <v>1.5800000000000002E-2</v>
      </c>
      <c r="AG47" s="14">
        <f>AG13*Inputs!$C$54</f>
        <v>1.5800000000000002E-2</v>
      </c>
      <c r="AH47" s="14">
        <f>AH13*Inputs!$C$54</f>
        <v>0</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378.42</v>
      </c>
      <c r="D50" s="331">
        <f>D16*Inputs!$C$57</f>
        <v>551.99</v>
      </c>
      <c r="E50" s="331">
        <f>E16*Inputs!$C$57</f>
        <v>600.22503084258369</v>
      </c>
      <c r="F50" s="331">
        <f>F16*Inputs!$C$57</f>
        <v>685.09859923595639</v>
      </c>
      <c r="G50" s="331">
        <f>G16*Inputs!$C$57</f>
        <v>806.15944838980965</v>
      </c>
      <c r="H50" s="14">
        <f>H16*Inputs!$C$57</f>
        <v>808.65939480469603</v>
      </c>
      <c r="I50" s="14">
        <f>I16*Inputs!$C$57</f>
        <v>865.22027607830137</v>
      </c>
      <c r="J50" s="14">
        <f>J16*Inputs!$C$57</f>
        <v>897.61094921048436</v>
      </c>
      <c r="K50" s="14">
        <f>K16*Inputs!$C$57</f>
        <v>897.66281365846339</v>
      </c>
      <c r="L50" s="14">
        <f>L16*Inputs!$C$57</f>
        <v>897.64080752817324</v>
      </c>
      <c r="M50" s="14">
        <f>M16*Inputs!$C$57</f>
        <v>897.58876803143062</v>
      </c>
      <c r="N50" s="190">
        <f>N16*Inputs!$C$57</f>
        <v>897.57483915123555</v>
      </c>
      <c r="O50" s="14">
        <f>O16*Inputs!$C$57</f>
        <v>897.56893750720315</v>
      </c>
      <c r="P50" s="14">
        <f>P16*Inputs!$C$57</f>
        <v>897.86139397736542</v>
      </c>
      <c r="Q50" s="14">
        <f>Q16*Inputs!$C$57</f>
        <v>897.66448912520161</v>
      </c>
      <c r="R50" s="14">
        <f>R16*Inputs!$C$57</f>
        <v>897.64908483399836</v>
      </c>
      <c r="S50" s="14">
        <f>S16*Inputs!$C$57</f>
        <v>898.51632642315769</v>
      </c>
      <c r="T50" s="14">
        <f>T16*Inputs!$C$57</f>
        <v>899.87142891666872</v>
      </c>
      <c r="U50" s="14">
        <f>U16*Inputs!$C$57</f>
        <v>901.16223849997971</v>
      </c>
      <c r="V50" s="14">
        <f>V16*Inputs!$C$57</f>
        <v>901.76015506274803</v>
      </c>
      <c r="W50" s="14">
        <f>W16*Inputs!$C$57</f>
        <v>901.99582071258169</v>
      </c>
      <c r="X50" s="187">
        <f>X16*Inputs!$C$57</f>
        <v>903.07417111072857</v>
      </c>
      <c r="Y50" s="14">
        <f>Y16*Inputs!$C$57</f>
        <v>904.38303572366408</v>
      </c>
      <c r="Z50" s="14">
        <f>Z16*Inputs!$C$57</f>
        <v>905.67629598966664</v>
      </c>
      <c r="AA50" s="14">
        <f>AA16*Inputs!$C$57</f>
        <v>907.04960355459934</v>
      </c>
      <c r="AB50" s="14">
        <f>AB16*Inputs!$C$57</f>
        <v>912.79890514861461</v>
      </c>
      <c r="AC50" s="14">
        <f>AC16*Inputs!$C$57</f>
        <v>916.7841903371833</v>
      </c>
      <c r="AD50" s="14">
        <f>AD16*Inputs!$C$57</f>
        <v>992.29772628829573</v>
      </c>
      <c r="AE50" s="14">
        <f>AE16*Inputs!$C$57</f>
        <v>1079.268003765955</v>
      </c>
      <c r="AF50" s="14">
        <f>AF16*Inputs!$C$57</f>
        <v>1103.0993425078761</v>
      </c>
      <c r="AG50" s="14">
        <f>AG16*Inputs!$C$57</f>
        <v>1111.5822806162789</v>
      </c>
      <c r="AH50" s="14">
        <f>AH16*Inputs!$C$57</f>
        <v>1126.4530732016035</v>
      </c>
    </row>
    <row r="51" spans="1:34" s="20" customFormat="1" ht="15">
      <c r="A51" s="8" t="s">
        <v>128</v>
      </c>
      <c r="B51" s="38"/>
      <c r="C51" s="334">
        <f t="shared" ref="C51:AH51" si="21">SUMPRODUCT($B42:$B50,C42:C50)</f>
        <v>378.42270000000002</v>
      </c>
      <c r="D51" s="334">
        <f t="shared" si="21"/>
        <v>551.99270000000001</v>
      </c>
      <c r="E51" s="334">
        <f t="shared" si="21"/>
        <v>600.24696991055373</v>
      </c>
      <c r="F51" s="334">
        <f t="shared" si="21"/>
        <v>685.12055829465135</v>
      </c>
      <c r="G51" s="334">
        <f t="shared" si="21"/>
        <v>806.18151724883467</v>
      </c>
      <c r="H51" s="19">
        <f t="shared" si="21"/>
        <v>808.68153880155103</v>
      </c>
      <c r="I51" s="19">
        <f t="shared" si="21"/>
        <v>865.2424304825314</v>
      </c>
      <c r="J51" s="19">
        <f t="shared" si="21"/>
        <v>897.63333418598438</v>
      </c>
      <c r="K51" s="19">
        <f t="shared" si="21"/>
        <v>897.68556021719837</v>
      </c>
      <c r="L51" s="19">
        <f t="shared" si="21"/>
        <v>897.66385864561323</v>
      </c>
      <c r="M51" s="19">
        <f t="shared" si="21"/>
        <v>897.61199255426061</v>
      </c>
      <c r="N51" s="190">
        <f t="shared" si="21"/>
        <v>897.59809742101061</v>
      </c>
      <c r="O51" s="19">
        <f t="shared" si="21"/>
        <v>897.59232530348311</v>
      </c>
      <c r="P51" s="19">
        <f t="shared" si="21"/>
        <v>897.88495686180045</v>
      </c>
      <c r="Q51" s="19">
        <f t="shared" si="21"/>
        <v>897.68828786747156</v>
      </c>
      <c r="R51" s="19">
        <f t="shared" si="21"/>
        <v>897.67314944758334</v>
      </c>
      <c r="S51" s="19">
        <f t="shared" si="21"/>
        <v>898.5405546335827</v>
      </c>
      <c r="T51" s="19">
        <f t="shared" si="21"/>
        <v>899.89595869167874</v>
      </c>
      <c r="U51" s="19">
        <f t="shared" si="21"/>
        <v>901.18699609929467</v>
      </c>
      <c r="V51" s="19">
        <f t="shared" si="21"/>
        <v>901.78503522345306</v>
      </c>
      <c r="W51" s="19">
        <f t="shared" si="21"/>
        <v>902.02072785452174</v>
      </c>
      <c r="X51" s="182">
        <f t="shared" si="21"/>
        <v>903.09920098236353</v>
      </c>
      <c r="Y51" s="19">
        <f t="shared" si="21"/>
        <v>904.4083694241541</v>
      </c>
      <c r="Z51" s="19">
        <f t="shared" si="21"/>
        <v>905.70211345330165</v>
      </c>
      <c r="AA51" s="19">
        <f t="shared" si="21"/>
        <v>907.0758338382193</v>
      </c>
      <c r="AB51" s="19">
        <f t="shared" si="21"/>
        <v>912.82553866915464</v>
      </c>
      <c r="AC51" s="19">
        <f t="shared" si="21"/>
        <v>916.81094028500831</v>
      </c>
      <c r="AD51" s="19">
        <f t="shared" si="21"/>
        <v>992.32460931725075</v>
      </c>
      <c r="AE51" s="19">
        <f t="shared" si="21"/>
        <v>1079.294995481315</v>
      </c>
      <c r="AF51" s="19">
        <f t="shared" si="21"/>
        <v>1103.1264706866311</v>
      </c>
      <c r="AG51" s="19">
        <f t="shared" si="21"/>
        <v>1111.6095664867189</v>
      </c>
      <c r="AH51" s="19">
        <f t="shared" si="21"/>
        <v>1126.4646165264985</v>
      </c>
    </row>
    <row r="52" spans="1:34" s="20" customFormat="1" ht="15">
      <c r="A52" s="27" t="s">
        <v>329</v>
      </c>
      <c r="B52" s="39"/>
      <c r="C52" s="334">
        <f>SUM(C40:C50)</f>
        <v>523.47119999999995</v>
      </c>
      <c r="D52" s="334">
        <f t="shared" ref="D52:I52" si="22">SUM(D42:D50)</f>
        <v>705.59120000000007</v>
      </c>
      <c r="E52" s="334">
        <f t="shared" si="22"/>
        <v>760.40131590843225</v>
      </c>
      <c r="F52" s="334">
        <f t="shared" si="22"/>
        <v>835.66220515407076</v>
      </c>
      <c r="G52" s="334">
        <f t="shared" si="22"/>
        <v>929.9878541318127</v>
      </c>
      <c r="H52" s="19">
        <f t="shared" si="22"/>
        <v>935.12124150093473</v>
      </c>
      <c r="I52" s="19">
        <f t="shared" si="22"/>
        <v>993.76519216116765</v>
      </c>
      <c r="J52" s="19">
        <f t="shared" ref="J52:AH52" si="23">SUM(J42:J50)</f>
        <v>1028.4257681240535</v>
      </c>
      <c r="K52" s="19">
        <f t="shared" si="23"/>
        <v>1030.0738037185979</v>
      </c>
      <c r="L52" s="19">
        <f t="shared" si="23"/>
        <v>1029.4844895915096</v>
      </c>
      <c r="M52" s="19">
        <f t="shared" si="23"/>
        <v>1029.4326669396919</v>
      </c>
      <c r="N52" s="190">
        <f t="shared" si="23"/>
        <v>1029.4187283669069</v>
      </c>
      <c r="O52" s="19">
        <f t="shared" si="23"/>
        <v>1030.0946805140386</v>
      </c>
      <c r="P52" s="19">
        <f t="shared" si="23"/>
        <v>1030.3872686328209</v>
      </c>
      <c r="Q52" s="19">
        <f t="shared" si="23"/>
        <v>1030.1905848295598</v>
      </c>
      <c r="R52" s="19">
        <f t="shared" si="23"/>
        <v>1030.1754464096716</v>
      </c>
      <c r="S52" s="19">
        <f t="shared" si="23"/>
        <v>1031.042851595671</v>
      </c>
      <c r="T52" s="19">
        <f t="shared" si="23"/>
        <v>1032.3982398575724</v>
      </c>
      <c r="U52" s="19">
        <f t="shared" si="23"/>
        <v>1033.6892772651884</v>
      </c>
      <c r="V52" s="19">
        <f t="shared" si="23"/>
        <v>1034.2873163893466</v>
      </c>
      <c r="W52" s="19">
        <f t="shared" si="23"/>
        <v>1035.3233666549095</v>
      </c>
      <c r="X52" s="182">
        <f t="shared" si="23"/>
        <v>1036.4018397827515</v>
      </c>
      <c r="Y52" s="19">
        <f t="shared" si="23"/>
        <v>1037.8846557908141</v>
      </c>
      <c r="Z52" s="19">
        <f t="shared" si="23"/>
        <v>1039.1784008072239</v>
      </c>
      <c r="AA52" s="19">
        <f t="shared" si="23"/>
        <v>1040.5521211921416</v>
      </c>
      <c r="AB52" s="19">
        <f t="shared" si="23"/>
        <v>1046.301826023077</v>
      </c>
      <c r="AC52" s="19">
        <f t="shared" si="23"/>
        <v>1050.5427350342136</v>
      </c>
      <c r="AD52" s="19">
        <f t="shared" si="23"/>
        <v>1126.0564484932531</v>
      </c>
      <c r="AE52" s="19">
        <f t="shared" si="23"/>
        <v>1213.0268040521905</v>
      </c>
      <c r="AF52" s="19">
        <f t="shared" si="23"/>
        <v>1236.8582338434474</v>
      </c>
      <c r="AG52" s="19">
        <f t="shared" si="23"/>
        <v>1245.958487950388</v>
      </c>
      <c r="AH52" s="19">
        <f t="shared" si="23"/>
        <v>1260.8135241684975</v>
      </c>
    </row>
    <row r="53" spans="1:34" s="20" customFormat="1" ht="15">
      <c r="A53" s="27" t="s">
        <v>330</v>
      </c>
      <c r="B53" s="39"/>
      <c r="C53" s="334">
        <f>C20*Inputs!$C$60</f>
        <v>4614.9399999999996</v>
      </c>
      <c r="D53" s="334">
        <f>D20*Inputs!$C$60</f>
        <v>4728.57</v>
      </c>
      <c r="E53" s="334">
        <f>E20*Inputs!$C$60</f>
        <v>4647.9504609999994</v>
      </c>
      <c r="F53" s="334">
        <f>F20*Inputs!$C$60</f>
        <v>4660.8709840000001</v>
      </c>
      <c r="G53" s="334">
        <f>G20*Inputs!$C$60</f>
        <v>4317.4775104999999</v>
      </c>
      <c r="H53" s="19">
        <f>H20*Inputs!$C$60</f>
        <v>4483.526355</v>
      </c>
      <c r="I53" s="19">
        <f>I20*Inputs!$C$60</f>
        <v>4856.1769024999994</v>
      </c>
      <c r="J53" s="19">
        <f>J20*Inputs!$C$60</f>
        <v>4828.033710499999</v>
      </c>
      <c r="K53" s="19">
        <f>K20*Inputs!$C$60</f>
        <v>4972.6091800000004</v>
      </c>
      <c r="L53" s="19">
        <f>L20*Inputs!$C$60</f>
        <v>5004.5009629999986</v>
      </c>
      <c r="M53" s="19">
        <f>M20*Inputs!$C$60</f>
        <v>4994.8371934999996</v>
      </c>
      <c r="N53" s="190">
        <f>N20*Inputs!$C$60</f>
        <v>4998.3280270000005</v>
      </c>
      <c r="O53" s="19">
        <f>O20*Inputs!$C$60</f>
        <v>4851.0424270000003</v>
      </c>
      <c r="P53" s="19">
        <f>P20*Inputs!$C$60</f>
        <v>4788.4081245000007</v>
      </c>
      <c r="Q53" s="19">
        <f>Q20*Inputs!$C$60</f>
        <v>4790.1925224999995</v>
      </c>
      <c r="R53" s="19">
        <f>R20*Inputs!$C$60</f>
        <v>4789.8419800000001</v>
      </c>
      <c r="S53" s="19">
        <f>S20*Inputs!$C$60</f>
        <v>4791.7339085000003</v>
      </c>
      <c r="T53" s="19">
        <f>T20*Inputs!$C$60</f>
        <v>4775.8234754999994</v>
      </c>
      <c r="U53" s="19">
        <f>U20*Inputs!$C$60</f>
        <v>4768.5619905000003</v>
      </c>
      <c r="V53" s="19">
        <f>V20*Inputs!$C$60</f>
        <v>4761.5864449999999</v>
      </c>
      <c r="W53" s="19">
        <f>W20*Inputs!$C$60</f>
        <v>4756.875161500001</v>
      </c>
      <c r="X53" s="182">
        <f>X20*Inputs!$C$60</f>
        <v>4751.3302374999994</v>
      </c>
      <c r="Y53" s="19">
        <f>Y20*Inputs!$C$60</f>
        <v>4745.4803935</v>
      </c>
      <c r="Z53" s="19">
        <f>Z20*Inputs!$C$60</f>
        <v>4727.9616614999995</v>
      </c>
      <c r="AA53" s="19">
        <f>AA20*Inputs!$C$60</f>
        <v>4722.2543445000001</v>
      </c>
      <c r="AB53" s="19">
        <f>AB20*Inputs!$C$60</f>
        <v>4716.9133935</v>
      </c>
      <c r="AC53" s="19">
        <f>AC20*Inputs!$C$60</f>
        <v>4712.8290824999995</v>
      </c>
      <c r="AD53" s="19">
        <f>AD20*Inputs!$C$60</f>
        <v>4710.0331740000001</v>
      </c>
      <c r="AE53" s="19">
        <f>AE20*Inputs!$C$60</f>
        <v>4703.7866644999986</v>
      </c>
      <c r="AF53" s="19">
        <f>AF20*Inputs!$C$60</f>
        <v>4698.2614140000005</v>
      </c>
      <c r="AG53" s="19">
        <f>AG20*Inputs!$C$60</f>
        <v>4693.3640214999996</v>
      </c>
      <c r="AH53" s="19">
        <f>AH20*Inputs!$C$60</f>
        <v>4687.8098574999995</v>
      </c>
    </row>
    <row r="54" spans="1:34" s="20" customFormat="1" ht="15">
      <c r="A54" s="27" t="s">
        <v>222</v>
      </c>
      <c r="B54" s="39"/>
      <c r="C54" s="334">
        <f>C21*Inputs!$C$61</f>
        <v>53.68</v>
      </c>
      <c r="D54" s="334">
        <f>D21*Inputs!$C$61</f>
        <v>50.49</v>
      </c>
      <c r="E54" s="334">
        <f>E21*Inputs!$C$61</f>
        <v>26.968585380860688</v>
      </c>
      <c r="F54" s="334">
        <f>F21*Inputs!$C$61</f>
        <v>32.300995924030978</v>
      </c>
      <c r="G54" s="334">
        <f>G21*Inputs!$C$61</f>
        <v>39.964876071837146</v>
      </c>
      <c r="H54" s="19">
        <f>H21*Inputs!$C$61</f>
        <v>39.163288824626285</v>
      </c>
      <c r="I54" s="19">
        <f>I21*Inputs!$C$61</f>
        <v>25.325394268896947</v>
      </c>
      <c r="J54" s="19">
        <f>J21*Inputs!$C$61</f>
        <v>27.379024442530358</v>
      </c>
      <c r="K54" s="19">
        <f>K21*Inputs!$C$61</f>
        <v>27.203919574394206</v>
      </c>
      <c r="L54" s="19">
        <f>L21*Inputs!$C$61</f>
        <v>30.032408761193608</v>
      </c>
      <c r="M54" s="19">
        <f>M21*Inputs!$C$61</f>
        <v>31.221880323308536</v>
      </c>
      <c r="N54" s="190">
        <f>N21*Inputs!$C$61</f>
        <v>32.567470440210144</v>
      </c>
      <c r="O54" s="19">
        <f>O21*Inputs!$C$61</f>
        <v>37.437680093041166</v>
      </c>
      <c r="P54" s="19">
        <f>P21*Inputs!$C$61</f>
        <v>41.974060438209122</v>
      </c>
      <c r="Q54" s="19">
        <f>Q21*Inputs!$C$61</f>
        <v>44.979787246936766</v>
      </c>
      <c r="R54" s="19">
        <f>R21*Inputs!$C$61</f>
        <v>46.164199320960741</v>
      </c>
      <c r="S54" s="19">
        <f>S21*Inputs!$C$61</f>
        <v>48.536525940967366</v>
      </c>
      <c r="T54" s="19">
        <f>T21*Inputs!$C$61</f>
        <v>51.790284116625244</v>
      </c>
      <c r="U54" s="19">
        <f>U21*Inputs!$C$61</f>
        <v>53.68536819096866</v>
      </c>
      <c r="V54" s="19">
        <f>V21*Inputs!$C$61</f>
        <v>55.013264350484157</v>
      </c>
      <c r="W54" s="19">
        <f>W21*Inputs!$C$61</f>
        <v>57.898977951839854</v>
      </c>
      <c r="X54" s="182">
        <f>X21*Inputs!$C$61</f>
        <v>60.456723043181043</v>
      </c>
      <c r="Y54" s="19">
        <f>Y21*Inputs!$C$61</f>
        <v>60.420832681257366</v>
      </c>
      <c r="Z54" s="19">
        <f>Z21*Inputs!$C$61</f>
        <v>62.871886336622012</v>
      </c>
      <c r="AA54" s="19">
        <f>AA21*Inputs!$C$61</f>
        <v>64.019688987401778</v>
      </c>
      <c r="AB54" s="19">
        <f>AB21*Inputs!$C$61</f>
        <v>64.604974771750534</v>
      </c>
      <c r="AC54" s="19">
        <f>AC21*Inputs!$C$61</f>
        <v>65.370704230596957</v>
      </c>
      <c r="AD54" s="19">
        <f>AD21*Inputs!$C$61</f>
        <v>64.951994742233012</v>
      </c>
      <c r="AE54" s="19">
        <f>AE21*Inputs!$C$61</f>
        <v>65.148011835409449</v>
      </c>
      <c r="AF54" s="19">
        <f>AF21*Inputs!$C$61</f>
        <v>66.19487472643776</v>
      </c>
      <c r="AG54" s="19">
        <f>AG21*Inputs!$C$61</f>
        <v>68.666860965317227</v>
      </c>
      <c r="AH54" s="19">
        <f>AH21*Inputs!$C$61</f>
        <v>70.864238255933131</v>
      </c>
    </row>
    <row r="55" spans="1:34" s="20" customFormat="1" ht="15">
      <c r="A55" s="27" t="s">
        <v>58</v>
      </c>
      <c r="B55" s="39"/>
      <c r="C55" s="334">
        <f>SUM(C52:C54)</f>
        <v>5192.0911999999998</v>
      </c>
      <c r="D55" s="334">
        <f t="shared" ref="D55:AH55" si="24">SUM(D52:D54)</f>
        <v>5484.6511999999993</v>
      </c>
      <c r="E55" s="334">
        <f t="shared" si="24"/>
        <v>5435.3203622892925</v>
      </c>
      <c r="F55" s="334">
        <f t="shared" si="24"/>
        <v>5528.8341850781017</v>
      </c>
      <c r="G55" s="334">
        <f t="shared" si="24"/>
        <v>5287.4302407036503</v>
      </c>
      <c r="H55" s="19">
        <f t="shared" si="24"/>
        <v>5457.8108853255608</v>
      </c>
      <c r="I55" s="19">
        <f t="shared" si="24"/>
        <v>5875.2674889300642</v>
      </c>
      <c r="J55" s="19">
        <f t="shared" si="24"/>
        <v>5883.8385030665822</v>
      </c>
      <c r="K55" s="19">
        <f t="shared" si="24"/>
        <v>6029.8869032929924</v>
      </c>
      <c r="L55" s="19">
        <f t="shared" si="24"/>
        <v>6064.0178613527014</v>
      </c>
      <c r="M55" s="19">
        <f t="shared" si="24"/>
        <v>6055.4917407630001</v>
      </c>
      <c r="N55" s="190">
        <f t="shared" si="24"/>
        <v>6060.3142258071175</v>
      </c>
      <c r="O55" s="19">
        <f t="shared" si="24"/>
        <v>5918.57478760708</v>
      </c>
      <c r="P55" s="19">
        <f t="shared" si="24"/>
        <v>5860.7694535710307</v>
      </c>
      <c r="Q55" s="19">
        <f t="shared" si="24"/>
        <v>5865.3628945764967</v>
      </c>
      <c r="R55" s="19">
        <f t="shared" si="24"/>
        <v>5866.1816257306318</v>
      </c>
      <c r="S55" s="19">
        <f t="shared" si="24"/>
        <v>5871.3132860366386</v>
      </c>
      <c r="T55" s="19">
        <f t="shared" si="24"/>
        <v>5860.0119994741972</v>
      </c>
      <c r="U55" s="19">
        <f t="shared" si="24"/>
        <v>5855.9366359561573</v>
      </c>
      <c r="V55" s="19">
        <f t="shared" si="24"/>
        <v>5850.8870257398303</v>
      </c>
      <c r="W55" s="19">
        <f t="shared" si="24"/>
        <v>5850.0975061067502</v>
      </c>
      <c r="X55" s="182">
        <f t="shared" si="24"/>
        <v>5848.1888003259319</v>
      </c>
      <c r="Y55" s="19">
        <f t="shared" si="24"/>
        <v>5843.7858819720723</v>
      </c>
      <c r="Z55" s="19">
        <f t="shared" si="24"/>
        <v>5830.0119486438452</v>
      </c>
      <c r="AA55" s="19">
        <f t="shared" si="24"/>
        <v>5826.8261546795429</v>
      </c>
      <c r="AB55" s="19">
        <f t="shared" si="24"/>
        <v>5827.8201942948281</v>
      </c>
      <c r="AC55" s="19">
        <f t="shared" si="24"/>
        <v>5828.7425217648097</v>
      </c>
      <c r="AD55" s="19">
        <f t="shared" si="24"/>
        <v>5901.0416172354862</v>
      </c>
      <c r="AE55" s="19">
        <f t="shared" si="24"/>
        <v>5981.9614803875984</v>
      </c>
      <c r="AF55" s="19">
        <f t="shared" si="24"/>
        <v>6001.3145225698854</v>
      </c>
      <c r="AG55" s="19">
        <f t="shared" si="24"/>
        <v>6007.9893704157048</v>
      </c>
      <c r="AH55" s="19">
        <f t="shared" si="24"/>
        <v>6019.48761992443</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130.54364999999999</v>
      </c>
      <c r="D60" s="331">
        <f>D42*Inputs!$H48</f>
        <v>138.23865000000001</v>
      </c>
      <c r="E60" s="331">
        <f>E42*Inputs!$H48</f>
        <v>144.13891139809073</v>
      </c>
      <c r="F60" s="331">
        <f>F42*Inputs!$H48</f>
        <v>135.48748217347745</v>
      </c>
      <c r="G60" s="331">
        <f>G42*Inputs!$H48</f>
        <v>111.42570319468022</v>
      </c>
      <c r="H60" s="14">
        <f>H42*Inputs!$H48</f>
        <v>113.79573242944528</v>
      </c>
      <c r="I60" s="14">
        <f>I42*Inputs!$H48</f>
        <v>115.67048551077265</v>
      </c>
      <c r="J60" s="14">
        <f>J42*Inputs!$H48</f>
        <v>117.71319054426236</v>
      </c>
      <c r="K60" s="14">
        <f>K42*Inputs!$H48</f>
        <v>119.14941915125951</v>
      </c>
      <c r="L60" s="14">
        <f>L42*Inputs!$H48</f>
        <v>118.63856785130666</v>
      </c>
      <c r="M60" s="14">
        <f>M42*Inputs!$H48</f>
        <v>118.63860694688806</v>
      </c>
      <c r="N60" s="190">
        <f>N42*Inputs!$H48</f>
        <v>118.63856785130666</v>
      </c>
      <c r="O60" s="14">
        <f>O42*Inputs!$H48</f>
        <v>119.25211968949986</v>
      </c>
      <c r="P60" s="14">
        <f>P42*Inputs!$H48</f>
        <v>119.25208059391844</v>
      </c>
      <c r="Q60" s="14">
        <f>Q42*Inputs!$H48</f>
        <v>119.25206726587935</v>
      </c>
      <c r="R60" s="14">
        <f>R42*Inputs!$H48</f>
        <v>119.25206726587935</v>
      </c>
      <c r="S60" s="14">
        <f>S42*Inputs!$H48</f>
        <v>119.25206726587935</v>
      </c>
      <c r="T60" s="14">
        <f>T42*Inputs!$H48</f>
        <v>119.25205304930428</v>
      </c>
      <c r="U60" s="14">
        <f>U42*Inputs!$H48</f>
        <v>119.25205304930428</v>
      </c>
      <c r="V60" s="14">
        <f>V42*Inputs!$H48</f>
        <v>119.25205304930428</v>
      </c>
      <c r="W60" s="14">
        <f>W42*Inputs!$H48</f>
        <v>119.97237492034904</v>
      </c>
      <c r="X60" s="187">
        <f>X42*Inputs!$H48</f>
        <v>119.97237492034904</v>
      </c>
      <c r="Y60" s="14">
        <f>Y42*Inputs!$H48</f>
        <v>120.1286577299941</v>
      </c>
      <c r="Z60" s="14">
        <f>Z42*Inputs!$H48</f>
        <v>120.12865861853004</v>
      </c>
      <c r="AA60" s="14">
        <f>AA42*Inputs!$H48</f>
        <v>120.12865861853004</v>
      </c>
      <c r="AB60" s="14">
        <f>AB42*Inputs!$H48</f>
        <v>120.12865861853004</v>
      </c>
      <c r="AC60" s="14">
        <f>AC42*Inputs!$H48</f>
        <v>120.35861527428477</v>
      </c>
      <c r="AD60" s="14">
        <f>AD42*Inputs!$H48</f>
        <v>120.35865525840212</v>
      </c>
      <c r="AE60" s="14">
        <f>AE42*Inputs!$H48</f>
        <v>120.35862771378798</v>
      </c>
      <c r="AF60" s="14">
        <f>AF42*Inputs!$H48</f>
        <v>120.35858684113467</v>
      </c>
      <c r="AG60" s="14">
        <f>AG42*Inputs!$H48</f>
        <v>120.91402931730215</v>
      </c>
      <c r="AH60" s="14">
        <f>AH42*Inputs!$H48</f>
        <v>120.91401687779899</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0</v>
      </c>
      <c r="D62" s="331">
        <f>D44*Inputs!$H46</f>
        <v>0</v>
      </c>
      <c r="E62" s="331">
        <f>E44*Inputs!$H46</f>
        <v>4.9232534399999998E-4</v>
      </c>
      <c r="F62" s="331">
        <f>F44*Inputs!$H46</f>
        <v>4.7658806999999995E-4</v>
      </c>
      <c r="G62" s="331">
        <f>G44*Inputs!$H46</f>
        <v>4.6840588199999992E-4</v>
      </c>
      <c r="H62" s="14">
        <f>H44*Inputs!$H46</f>
        <v>5.0055856200000005E-4</v>
      </c>
      <c r="I62" s="14">
        <f>I44*Inputs!$H46</f>
        <v>4.9621553099999988E-4</v>
      </c>
      <c r="J62" s="14">
        <f>J44*Inputs!$H46</f>
        <v>5.3753225399999992E-4</v>
      </c>
      <c r="K62" s="14">
        <f>K44*Inputs!$H46</f>
        <v>5.8836985199999989E-4</v>
      </c>
      <c r="L62" s="14">
        <f>L44*Inputs!$H46</f>
        <v>7.1892575999999992E-4</v>
      </c>
      <c r="M62" s="14">
        <f>M44*Inputs!$H46</f>
        <v>8.0211921300000003E-4</v>
      </c>
      <c r="N62" s="190">
        <f>N44*Inputs!$H46</f>
        <v>8.1631330199999992E-4</v>
      </c>
      <c r="O62" s="14">
        <f>O44*Inputs!$H46</f>
        <v>8.5645633499999998E-4</v>
      </c>
      <c r="P62" s="14">
        <f>P44*Inputs!$H46</f>
        <v>8.7653909700000001E-4</v>
      </c>
      <c r="Q62" s="14">
        <f>Q44*Inputs!$H46</f>
        <v>8.9095393800000004E-4</v>
      </c>
      <c r="R62" s="14">
        <f>R44*Inputs!$H46</f>
        <v>9.2076490800000008E-4</v>
      </c>
      <c r="S62" s="14">
        <f>S44*Inputs!$H46</f>
        <v>9.3215763899999991E-4</v>
      </c>
      <c r="T62" s="14">
        <f>T44*Inputs!$H46</f>
        <v>9.8560778400000001E-4</v>
      </c>
      <c r="U62" s="14">
        <f>U44*Inputs!$H46</f>
        <v>1.0058368320000001E-3</v>
      </c>
      <c r="V62" s="14">
        <f>V44*Inputs!$H46</f>
        <v>1.0141078499999998E-3</v>
      </c>
      <c r="W62" s="14">
        <f>W44*Inputs!$H46</f>
        <v>1.0313701650000002E-3</v>
      </c>
      <c r="X62" s="187">
        <f>X44*Inputs!$H46</f>
        <v>1.045972494E-3</v>
      </c>
      <c r="Y62" s="14">
        <f>Y44*Inputs!$H46</f>
        <v>1.0641499469999998E-3</v>
      </c>
      <c r="Z62" s="14">
        <f>Z44*Inputs!$H46</f>
        <v>1.126423557E-3</v>
      </c>
      <c r="AA62" s="14">
        <f>AA44*Inputs!$H46</f>
        <v>1.146881484E-3</v>
      </c>
      <c r="AB62" s="14">
        <f>AB44*Inputs!$H46</f>
        <v>1.1729311649999999E-3</v>
      </c>
      <c r="AC62" s="14">
        <f>AC44*Inputs!$H46</f>
        <v>1.2008234070000001E-3</v>
      </c>
      <c r="AD62" s="14">
        <f>AD44*Inputs!$H46</f>
        <v>1.2263935950000001E-3</v>
      </c>
      <c r="AE62" s="14">
        <f>AE44*Inputs!$H46</f>
        <v>1.278912348E-3</v>
      </c>
      <c r="AF62" s="14">
        <f>AF44*Inputs!$H46</f>
        <v>1.3061627459999997E-3</v>
      </c>
      <c r="AG62" s="14">
        <f>AG44*Inputs!$H46</f>
        <v>1.3405879619999999E-3</v>
      </c>
      <c r="AH62" s="14">
        <f>AH44*Inputs!$H46</f>
        <v>1.3768572509999996E-3</v>
      </c>
    </row>
    <row r="63" spans="1:34" ht="15">
      <c r="A63" s="8" t="s">
        <v>50</v>
      </c>
      <c r="B63" s="34">
        <v>1</v>
      </c>
      <c r="C63" s="331">
        <f>C45*Inputs!$H49</f>
        <v>0</v>
      </c>
      <c r="D63" s="331">
        <f>D45*Inputs!$H49</f>
        <v>0</v>
      </c>
      <c r="E63" s="331">
        <f>E45*Inputs!$H49</f>
        <v>4.3965000000000003E-4</v>
      </c>
      <c r="F63" s="331">
        <f>F45*Inputs!$H49</f>
        <v>4.572E-4</v>
      </c>
      <c r="G63" s="331">
        <f>G45*Inputs!$H49</f>
        <v>5.4307687499999995E-4</v>
      </c>
      <c r="H63" s="14">
        <f>H45*Inputs!$H49</f>
        <v>5.9240745000000003E-4</v>
      </c>
      <c r="I63" s="14">
        <f>I45*Inputs!$H49</f>
        <v>5.9240745000000003E-4</v>
      </c>
      <c r="J63" s="14">
        <f>J45*Inputs!$H49</f>
        <v>7.7232329999999999E-4</v>
      </c>
      <c r="K63" s="14">
        <f>K45*Inputs!$H49</f>
        <v>1.033985025E-3</v>
      </c>
      <c r="L63" s="14">
        <f>L45*Inputs!$H49</f>
        <v>1.2052347750000001E-3</v>
      </c>
      <c r="M63" s="14">
        <f>M45*Inputs!$H49</f>
        <v>1.2484109249999999E-3</v>
      </c>
      <c r="N63" s="190">
        <f>N45*Inputs!$H49</f>
        <v>1.2511336500000002E-3</v>
      </c>
      <c r="O63" s="14">
        <f>O45*Inputs!$H49</f>
        <v>1.3410083249999999E-3</v>
      </c>
      <c r="P63" s="14">
        <f>P45*Inputs!$H49</f>
        <v>1.4932709999999998E-3</v>
      </c>
      <c r="Q63" s="14">
        <f>Q45*Inputs!$H49</f>
        <v>1.6776677249999998E-3</v>
      </c>
      <c r="R63" s="14">
        <f>R45*Inputs!$H49</f>
        <v>1.8719358750000001E-3</v>
      </c>
      <c r="S63" s="14">
        <f>S45*Inputs!$H49</f>
        <v>2.0367303749999999E-3</v>
      </c>
      <c r="T63" s="14">
        <f>T45*Inputs!$H49</f>
        <v>2.241430425E-3</v>
      </c>
      <c r="U63" s="14">
        <f>U45*Inputs!$H49</f>
        <v>2.4263102250000001E-3</v>
      </c>
      <c r="V63" s="14">
        <f>V45*Inputs!$H49</f>
        <v>2.52654345E-3</v>
      </c>
      <c r="W63" s="14">
        <f>W45*Inputs!$H49</f>
        <v>2.5503345000000002E-3</v>
      </c>
      <c r="X63" s="187">
        <f>X45*Inputs!$H49</f>
        <v>2.6455994999999995E-3</v>
      </c>
      <c r="Y63" s="14">
        <f>Y45*Inputs!$H49</f>
        <v>2.8858043249999996E-3</v>
      </c>
      <c r="Z63" s="14">
        <f>Z45*Inputs!$H49</f>
        <v>3.27479175E-3</v>
      </c>
      <c r="AA63" s="14">
        <f>AA45*Inputs!$H49</f>
        <v>3.6108841500000002E-3</v>
      </c>
      <c r="AB63" s="14">
        <f>AB45*Inputs!$H49</f>
        <v>3.9475691999999998E-3</v>
      </c>
      <c r="AC63" s="14">
        <f>AC45*Inputs!$H49</f>
        <v>4.0398821999999999E-3</v>
      </c>
      <c r="AD63" s="14">
        <f>AD45*Inputs!$H49</f>
        <v>4.119002775E-3</v>
      </c>
      <c r="AE63" s="14">
        <f>AE45*Inputs!$H49</f>
        <v>4.1795068500000004E-3</v>
      </c>
      <c r="AF63" s="14">
        <f>AF45*Inputs!$H49</f>
        <v>4.2749034749999994E-3</v>
      </c>
      <c r="AG63" s="14">
        <f>AG45*Inputs!$H49</f>
        <v>4.3824552749999997E-3</v>
      </c>
      <c r="AH63" s="14">
        <f>AH45*Inputs!$H49</f>
        <v>4.3955482499999999E-3</v>
      </c>
    </row>
    <row r="64" spans="1:34" ht="15">
      <c r="A64" s="8" t="s">
        <v>51</v>
      </c>
      <c r="B64" s="34">
        <v>1</v>
      </c>
      <c r="C64" s="331">
        <f>C46*Inputs!$H52</f>
        <v>0</v>
      </c>
      <c r="D64" s="331">
        <f>D46*Inputs!$H52</f>
        <v>0</v>
      </c>
      <c r="E64" s="331">
        <f>E46*Inputs!$H52</f>
        <v>9.3185829000000004E-5</v>
      </c>
      <c r="F64" s="331">
        <f>F46*Inputs!$H52</f>
        <v>1.0936475550000001E-4</v>
      </c>
      <c r="G64" s="331">
        <f>G46*Inputs!$H52</f>
        <v>1.3049036550000001E-4</v>
      </c>
      <c r="H64" s="14">
        <f>H46*Inputs!$H52</f>
        <v>1.166311575E-4</v>
      </c>
      <c r="I64" s="14">
        <f>I46*Inputs!$H52</f>
        <v>1.3034082599999998E-4</v>
      </c>
      <c r="J64" s="14">
        <f>J46*Inputs!$H52</f>
        <v>1.16622396E-4</v>
      </c>
      <c r="K64" s="14">
        <f>K46*Inputs!$H52</f>
        <v>1.2954798450000001E-4</v>
      </c>
      <c r="L64" s="14">
        <f>L46*Inputs!$H52</f>
        <v>1.0184516100000002E-4</v>
      </c>
      <c r="M64" s="14">
        <f>M46*Inputs!$H52</f>
        <v>1.31540409E-4</v>
      </c>
      <c r="N64" s="190">
        <f>N46*Inputs!$H52</f>
        <v>1.4499584550000001E-4</v>
      </c>
      <c r="O64" s="14">
        <f>O46*Inputs!$H52</f>
        <v>1.3155199200000001E-4</v>
      </c>
      <c r="P64" s="14">
        <f>P46*Inputs!$H52</f>
        <v>1.167858945E-4</v>
      </c>
      <c r="Q64" s="14">
        <f>Q46*Inputs!$H52</f>
        <v>1.3024637999999999E-4</v>
      </c>
      <c r="R64" s="14">
        <f>R46*Inputs!$H52</f>
        <v>1.4545144350000002E-4</v>
      </c>
      <c r="S64" s="14">
        <f>S46*Inputs!$H52</f>
        <v>1.1650136850000001E-4</v>
      </c>
      <c r="T64" s="14">
        <f>T46*Inputs!$H52</f>
        <v>1.2975930000000001E-4</v>
      </c>
      <c r="U64" s="14">
        <f>U46*Inputs!$H52</f>
        <v>1.2969232650000001E-4</v>
      </c>
      <c r="V64" s="14">
        <f>V46*Inputs!$H52</f>
        <v>1.3149333449999999E-4</v>
      </c>
      <c r="W64" s="14">
        <f>W46*Inputs!$H52</f>
        <v>1.1472308099999999E-4</v>
      </c>
      <c r="X64" s="187">
        <f>X46*Inputs!$H52</f>
        <v>1.153124775E-4</v>
      </c>
      <c r="Y64" s="14">
        <f>Y46*Inputs!$H52</f>
        <v>1.30376169E-4</v>
      </c>
      <c r="Z64" s="14">
        <f>Z46*Inputs!$H52</f>
        <v>1.1450196449999999E-4</v>
      </c>
      <c r="AA64" s="14">
        <f>AA46*Inputs!$H52</f>
        <v>1.2948962399999999E-4</v>
      </c>
      <c r="AB64" s="14">
        <f>AB46*Inputs!$H52</f>
        <v>1.2966812100000002E-4</v>
      </c>
      <c r="AC64" s="14">
        <f>AC46*Inputs!$H52</f>
        <v>1.142474355E-4</v>
      </c>
      <c r="AD64" s="14">
        <f>AD46*Inputs!$H52</f>
        <v>1.293296895E-4</v>
      </c>
      <c r="AE64" s="14">
        <f>AE46*Inputs!$H52</f>
        <v>1.14124626E-4</v>
      </c>
      <c r="AF64" s="14">
        <f>AF46*Inputs!$H52</f>
        <v>1.1429465850000003E-4</v>
      </c>
      <c r="AG64" s="14">
        <f>AG46*Inputs!$H52</f>
        <v>1.1424015900000002E-4</v>
      </c>
      <c r="AH64" s="14">
        <f>AH46*Inputs!$H52</f>
        <v>1.1658690450000003E-4</v>
      </c>
    </row>
    <row r="65" spans="1:34" ht="15">
      <c r="A65" s="8" t="s">
        <v>347</v>
      </c>
      <c r="B65" s="34">
        <v>1</v>
      </c>
      <c r="C65" s="331">
        <f>C47*Inputs!$H54</f>
        <v>0</v>
      </c>
      <c r="D65" s="331">
        <f>D47*Inputs!$H54</f>
        <v>0</v>
      </c>
      <c r="E65" s="331">
        <f>E47*Inputs!$H54</f>
        <v>1.4220000000000002E-2</v>
      </c>
      <c r="F65" s="331">
        <f>F47*Inputs!$H54</f>
        <v>1.4220000000000002E-2</v>
      </c>
      <c r="G65" s="331">
        <f>G47*Inputs!$H54</f>
        <v>1.4220000000000002E-2</v>
      </c>
      <c r="H65" s="14">
        <f>H47*Inputs!$H54</f>
        <v>1.4220000000000002E-2</v>
      </c>
      <c r="I65" s="14">
        <f>I47*Inputs!$H54</f>
        <v>1.4220000000000002E-2</v>
      </c>
      <c r="J65" s="14">
        <f>J47*Inputs!$H54</f>
        <v>1.4220000000000002E-2</v>
      </c>
      <c r="K65" s="14">
        <f>K47*Inputs!$H54</f>
        <v>1.4220000000000002E-2</v>
      </c>
      <c r="L65" s="14">
        <f>L47*Inputs!$H54</f>
        <v>1.4220000000000002E-2</v>
      </c>
      <c r="M65" s="14">
        <f>M47*Inputs!$H54</f>
        <v>1.4220000000000002E-2</v>
      </c>
      <c r="N65" s="190">
        <f>N47*Inputs!$H54</f>
        <v>1.4220000000000002E-2</v>
      </c>
      <c r="O65" s="14">
        <f>O47*Inputs!$H54</f>
        <v>1.4220000000000002E-2</v>
      </c>
      <c r="P65" s="14">
        <f>P47*Inputs!$H54</f>
        <v>1.4220000000000002E-2</v>
      </c>
      <c r="Q65" s="14">
        <f>Q47*Inputs!$H54</f>
        <v>1.4220000000000002E-2</v>
      </c>
      <c r="R65" s="14">
        <f>R47*Inputs!$H54</f>
        <v>1.4220000000000002E-2</v>
      </c>
      <c r="S65" s="14">
        <f>S47*Inputs!$H54</f>
        <v>1.4220000000000002E-2</v>
      </c>
      <c r="T65" s="14">
        <f>T47*Inputs!$H54</f>
        <v>1.4220000000000002E-2</v>
      </c>
      <c r="U65" s="14">
        <f>U47*Inputs!$H54</f>
        <v>1.4220000000000002E-2</v>
      </c>
      <c r="V65" s="14">
        <f>V47*Inputs!$H54</f>
        <v>1.4220000000000002E-2</v>
      </c>
      <c r="W65" s="14">
        <f>W47*Inputs!$H54</f>
        <v>1.4220000000000002E-2</v>
      </c>
      <c r="X65" s="187">
        <f>X47*Inputs!$H54</f>
        <v>1.4220000000000002E-2</v>
      </c>
      <c r="Y65" s="14">
        <f>Y47*Inputs!$H54</f>
        <v>1.4220000000000002E-2</v>
      </c>
      <c r="Z65" s="14">
        <f>Z47*Inputs!$H54</f>
        <v>1.4220000000000002E-2</v>
      </c>
      <c r="AA65" s="14">
        <f>AA47*Inputs!$H54</f>
        <v>1.4220000000000002E-2</v>
      </c>
      <c r="AB65" s="14">
        <f>AB47*Inputs!$H54</f>
        <v>1.4220000000000002E-2</v>
      </c>
      <c r="AC65" s="14">
        <f>AC47*Inputs!$H54</f>
        <v>1.4220000000000002E-2</v>
      </c>
      <c r="AD65" s="14">
        <f>AD47*Inputs!$H54</f>
        <v>1.4220000000000002E-2</v>
      </c>
      <c r="AE65" s="14">
        <f>AE47*Inputs!$H54</f>
        <v>1.4220000000000002E-2</v>
      </c>
      <c r="AF65" s="14">
        <f>AF47*Inputs!$H54</f>
        <v>1.4220000000000002E-2</v>
      </c>
      <c r="AG65" s="14">
        <f>AG47*Inputs!$H54</f>
        <v>1.4220000000000002E-2</v>
      </c>
      <c r="AH65" s="14">
        <f>AH47*Inputs!$H54</f>
        <v>0</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340.57800000000003</v>
      </c>
      <c r="D68" s="331">
        <f>D50*Inputs!$H57</f>
        <v>496.791</v>
      </c>
      <c r="E68" s="331">
        <f>E50*Inputs!$H57</f>
        <v>540.20252775832535</v>
      </c>
      <c r="F68" s="331">
        <f>F50*Inputs!$H57</f>
        <v>616.58873931236076</v>
      </c>
      <c r="G68" s="331">
        <f>G50*Inputs!$H57</f>
        <v>725.54350355082875</v>
      </c>
      <c r="H68" s="14">
        <f>H50*Inputs!$H57</f>
        <v>727.79345532422644</v>
      </c>
      <c r="I68" s="14">
        <f>I50*Inputs!$H57</f>
        <v>778.6982484704713</v>
      </c>
      <c r="J68" s="14">
        <f>J50*Inputs!$H57</f>
        <v>807.84985428943594</v>
      </c>
      <c r="K68" s="14">
        <f>K50*Inputs!$H57</f>
        <v>807.89653229261705</v>
      </c>
      <c r="L68" s="14">
        <f>L50*Inputs!$H57</f>
        <v>807.87672677535591</v>
      </c>
      <c r="M68" s="14">
        <f>M50*Inputs!$H57</f>
        <v>807.82989122828758</v>
      </c>
      <c r="N68" s="190">
        <f>N50*Inputs!$H57</f>
        <v>807.81735523611201</v>
      </c>
      <c r="O68" s="14">
        <f>O50*Inputs!$H57</f>
        <v>807.81204375648281</v>
      </c>
      <c r="P68" s="14">
        <f>P50*Inputs!$H57</f>
        <v>808.0752545796289</v>
      </c>
      <c r="Q68" s="14">
        <f>Q50*Inputs!$H57</f>
        <v>807.89804021268151</v>
      </c>
      <c r="R68" s="14">
        <f>R50*Inputs!$H57</f>
        <v>807.88417635059852</v>
      </c>
      <c r="S68" s="14">
        <f>S50*Inputs!$H57</f>
        <v>808.66469378084196</v>
      </c>
      <c r="T68" s="14">
        <f>T50*Inputs!$H57</f>
        <v>809.88428602500187</v>
      </c>
      <c r="U68" s="14">
        <f>U50*Inputs!$H57</f>
        <v>811.04601464998177</v>
      </c>
      <c r="V68" s="14">
        <f>V50*Inputs!$H57</f>
        <v>811.58413955647325</v>
      </c>
      <c r="W68" s="14">
        <f>W50*Inputs!$H57</f>
        <v>811.7962386413235</v>
      </c>
      <c r="X68" s="187">
        <f>X50*Inputs!$H57</f>
        <v>812.76675399965575</v>
      </c>
      <c r="Y68" s="14">
        <f>Y50*Inputs!$H57</f>
        <v>813.94473215129767</v>
      </c>
      <c r="Z68" s="14">
        <f>Z50*Inputs!$H57</f>
        <v>815.10866639070002</v>
      </c>
      <c r="AA68" s="14">
        <f>AA50*Inputs!$H57</f>
        <v>816.34464319913945</v>
      </c>
      <c r="AB68" s="14">
        <f>AB50*Inputs!$H57</f>
        <v>821.51901463375316</v>
      </c>
      <c r="AC68" s="14">
        <f>AC50*Inputs!$H57</f>
        <v>825.10577130346496</v>
      </c>
      <c r="AD68" s="14">
        <f>AD50*Inputs!$H57</f>
        <v>893.06795365946618</v>
      </c>
      <c r="AE68" s="14">
        <f>AE50*Inputs!$H57</f>
        <v>971.34120338935952</v>
      </c>
      <c r="AF68" s="14">
        <f>AF50*Inputs!$H57</f>
        <v>992.78940825708855</v>
      </c>
      <c r="AG68" s="14">
        <f>AG50*Inputs!$H57</f>
        <v>1000.4240525546511</v>
      </c>
      <c r="AH68" s="14">
        <f>AH50*Inputs!$H57</f>
        <v>1013.8077658814432</v>
      </c>
    </row>
    <row r="69" spans="1:34" s="20" customFormat="1" ht="15">
      <c r="A69" s="8" t="s">
        <v>128</v>
      </c>
      <c r="B69" s="38"/>
      <c r="C69" s="334">
        <f t="shared" ref="C69:AH69" si="25">SUMPRODUCT($B60:$B68,C60:C68)</f>
        <v>340.58043000000004</v>
      </c>
      <c r="D69" s="334">
        <f t="shared" si="25"/>
        <v>496.79343</v>
      </c>
      <c r="E69" s="334">
        <f t="shared" si="25"/>
        <v>540.22227291949832</v>
      </c>
      <c r="F69" s="334">
        <f t="shared" si="25"/>
        <v>616.60850246518623</v>
      </c>
      <c r="G69" s="334">
        <f t="shared" si="25"/>
        <v>725.56336552395123</v>
      </c>
      <c r="H69" s="19">
        <f t="shared" si="25"/>
        <v>727.81338492139594</v>
      </c>
      <c r="I69" s="19">
        <f t="shared" si="25"/>
        <v>778.71818743427832</v>
      </c>
      <c r="J69" s="19">
        <f t="shared" si="25"/>
        <v>807.87000076738593</v>
      </c>
      <c r="K69" s="19">
        <f t="shared" si="25"/>
        <v>807.91700419547851</v>
      </c>
      <c r="L69" s="19">
        <f t="shared" si="25"/>
        <v>807.89747278105187</v>
      </c>
      <c r="M69" s="19">
        <f t="shared" si="25"/>
        <v>807.85079329883456</v>
      </c>
      <c r="N69" s="190">
        <f t="shared" si="25"/>
        <v>807.83828767890952</v>
      </c>
      <c r="O69" s="19">
        <f t="shared" si="25"/>
        <v>807.83309277313481</v>
      </c>
      <c r="P69" s="19">
        <f t="shared" si="25"/>
        <v>808.09646117562045</v>
      </c>
      <c r="Q69" s="19">
        <f t="shared" si="25"/>
        <v>807.91945908072455</v>
      </c>
      <c r="R69" s="19">
        <f t="shared" si="25"/>
        <v>807.90583450282497</v>
      </c>
      <c r="S69" s="19">
        <f t="shared" si="25"/>
        <v>808.68649917022447</v>
      </c>
      <c r="T69" s="19">
        <f t="shared" si="25"/>
        <v>809.90636282251091</v>
      </c>
      <c r="U69" s="19">
        <f t="shared" si="25"/>
        <v>811.06829648936525</v>
      </c>
      <c r="V69" s="19">
        <f t="shared" si="25"/>
        <v>811.60653170110777</v>
      </c>
      <c r="W69" s="19">
        <f t="shared" si="25"/>
        <v>811.81865506906945</v>
      </c>
      <c r="X69" s="182">
        <f t="shared" si="25"/>
        <v>812.78928088412727</v>
      </c>
      <c r="Y69" s="19">
        <f t="shared" si="25"/>
        <v>813.96753248173866</v>
      </c>
      <c r="Z69" s="19">
        <f t="shared" si="25"/>
        <v>815.13190210797154</v>
      </c>
      <c r="AA69" s="19">
        <f t="shared" si="25"/>
        <v>816.36825045439741</v>
      </c>
      <c r="AB69" s="19">
        <f t="shared" si="25"/>
        <v>821.54298480223918</v>
      </c>
      <c r="AC69" s="19">
        <f t="shared" si="25"/>
        <v>825.12984625650745</v>
      </c>
      <c r="AD69" s="19">
        <f t="shared" si="25"/>
        <v>893.09214838552566</v>
      </c>
      <c r="AE69" s="19">
        <f t="shared" si="25"/>
        <v>971.36549593318352</v>
      </c>
      <c r="AF69" s="19">
        <f t="shared" si="25"/>
        <v>992.81382361796807</v>
      </c>
      <c r="AG69" s="19">
        <f t="shared" si="25"/>
        <v>1000.4486098380471</v>
      </c>
      <c r="AH69" s="19">
        <f t="shared" si="25"/>
        <v>1013.8181548738487</v>
      </c>
    </row>
    <row r="70" spans="1:34" s="20" customFormat="1" ht="15">
      <c r="A70" s="27" t="s">
        <v>329</v>
      </c>
      <c r="B70" s="39"/>
      <c r="C70" s="334">
        <f>SUM(C58:C68)</f>
        <v>471.12408000000005</v>
      </c>
      <c r="D70" s="334">
        <f t="shared" ref="D70:AH70" si="26">SUM(D58:D68)</f>
        <v>635.03207999999995</v>
      </c>
      <c r="E70" s="334">
        <f t="shared" si="26"/>
        <v>684.36118431758905</v>
      </c>
      <c r="F70" s="334">
        <f t="shared" si="26"/>
        <v>752.09598463866371</v>
      </c>
      <c r="G70" s="334">
        <f t="shared" si="26"/>
        <v>836.98906871863153</v>
      </c>
      <c r="H70" s="19">
        <f t="shared" si="26"/>
        <v>841.60911735084119</v>
      </c>
      <c r="I70" s="19">
        <f t="shared" si="26"/>
        <v>894.38867294505098</v>
      </c>
      <c r="J70" s="19">
        <f t="shared" si="26"/>
        <v>925.58319131164831</v>
      </c>
      <c r="K70" s="19">
        <f t="shared" si="26"/>
        <v>927.06642334673802</v>
      </c>
      <c r="L70" s="19">
        <f t="shared" si="26"/>
        <v>926.53604063235855</v>
      </c>
      <c r="M70" s="19">
        <f t="shared" si="26"/>
        <v>926.48940024572266</v>
      </c>
      <c r="N70" s="182">
        <f t="shared" si="26"/>
        <v>926.4768555302162</v>
      </c>
      <c r="O70" s="19">
        <f t="shared" si="26"/>
        <v>927.08521246263467</v>
      </c>
      <c r="P70" s="19">
        <f t="shared" si="26"/>
        <v>927.34854176953888</v>
      </c>
      <c r="Q70" s="19">
        <f t="shared" si="26"/>
        <v>927.17152634660386</v>
      </c>
      <c r="R70" s="19">
        <f t="shared" si="26"/>
        <v>927.15790176870439</v>
      </c>
      <c r="S70" s="19">
        <f t="shared" si="26"/>
        <v>927.93856643610377</v>
      </c>
      <c r="T70" s="19">
        <f t="shared" si="26"/>
        <v>929.15841587181512</v>
      </c>
      <c r="U70" s="19">
        <f t="shared" si="26"/>
        <v>930.32034953866957</v>
      </c>
      <c r="V70" s="19">
        <f t="shared" si="26"/>
        <v>930.85858475041198</v>
      </c>
      <c r="W70" s="19">
        <f t="shared" si="26"/>
        <v>931.79102998941858</v>
      </c>
      <c r="X70" s="182">
        <f t="shared" si="26"/>
        <v>932.76165580447628</v>
      </c>
      <c r="Y70" s="19">
        <f t="shared" si="26"/>
        <v>934.09619021173273</v>
      </c>
      <c r="Z70" s="19">
        <f t="shared" si="26"/>
        <v>935.26056072650158</v>
      </c>
      <c r="AA70" s="19">
        <f t="shared" si="26"/>
        <v>936.49690907292756</v>
      </c>
      <c r="AB70" s="19">
        <f t="shared" si="26"/>
        <v>941.67164342076921</v>
      </c>
      <c r="AC70" s="19">
        <f t="shared" si="26"/>
        <v>945.48846153079228</v>
      </c>
      <c r="AD70" s="19">
        <f t="shared" si="26"/>
        <v>1013.4508036439278</v>
      </c>
      <c r="AE70" s="19">
        <f t="shared" si="26"/>
        <v>1091.7241236469715</v>
      </c>
      <c r="AF70" s="19">
        <f t="shared" si="26"/>
        <v>1113.1724104591028</v>
      </c>
      <c r="AG70" s="19">
        <f t="shared" si="26"/>
        <v>1121.3626391553494</v>
      </c>
      <c r="AH70" s="19">
        <f t="shared" si="26"/>
        <v>1134.7321717516477</v>
      </c>
    </row>
    <row r="71" spans="1:34" s="20" customFormat="1" ht="15">
      <c r="A71" s="27" t="s">
        <v>142</v>
      </c>
      <c r="B71" s="39"/>
      <c r="C71" s="334">
        <f>C53*Inputs!$H$60</f>
        <v>4153.4459999999999</v>
      </c>
      <c r="D71" s="334">
        <f>D53*Inputs!$H$60</f>
        <v>4255.7129999999997</v>
      </c>
      <c r="E71" s="334">
        <f>E53*Inputs!$H$60</f>
        <v>4183.1554148999994</v>
      </c>
      <c r="F71" s="334">
        <f>F53*Inputs!$H$60</f>
        <v>4194.7838855999998</v>
      </c>
      <c r="G71" s="334">
        <f>G53*Inputs!$H$60</f>
        <v>3885.7297594500001</v>
      </c>
      <c r="H71" s="19">
        <f>H53*Inputs!$H$60</f>
        <v>4035.1737195000001</v>
      </c>
      <c r="I71" s="19">
        <f>I53*Inputs!$H$60</f>
        <v>4370.5592122499993</v>
      </c>
      <c r="J71" s="19">
        <f>J53*Inputs!$H$60</f>
        <v>4345.2303394499995</v>
      </c>
      <c r="K71" s="19">
        <f>K53*Inputs!$H$60</f>
        <v>4475.3482620000004</v>
      </c>
      <c r="L71" s="19">
        <f>L53*Inputs!$H$60</f>
        <v>4504.0508666999986</v>
      </c>
      <c r="M71" s="19">
        <f>M53*Inputs!$H$60</f>
        <v>4495.3534741499998</v>
      </c>
      <c r="N71" s="190">
        <f>N53*Inputs!$H$60</f>
        <v>4498.4952243000007</v>
      </c>
      <c r="O71" s="19">
        <f>O53*Inputs!$H$60</f>
        <v>4365.9381843000001</v>
      </c>
      <c r="P71" s="19">
        <f>P53*Inputs!$H$60</f>
        <v>4309.5673120500005</v>
      </c>
      <c r="Q71" s="19">
        <f>Q53*Inputs!$H$60</f>
        <v>4311.1732702499994</v>
      </c>
      <c r="R71" s="19">
        <f>R53*Inputs!$H$60</f>
        <v>4310.857782</v>
      </c>
      <c r="S71" s="19">
        <f>S53*Inputs!$H$60</f>
        <v>4312.5605176500003</v>
      </c>
      <c r="T71" s="19">
        <f>T53*Inputs!$H$60</f>
        <v>4298.2411279499993</v>
      </c>
      <c r="U71" s="19">
        <f>U53*Inputs!$H$60</f>
        <v>4291.7057914500001</v>
      </c>
      <c r="V71" s="19">
        <f>V53*Inputs!$H$60</f>
        <v>4285.4278004999996</v>
      </c>
      <c r="W71" s="19">
        <f>W53*Inputs!$H$60</f>
        <v>4281.1876453500008</v>
      </c>
      <c r="X71" s="182">
        <f>X53*Inputs!$H$60</f>
        <v>4276.1972137499997</v>
      </c>
      <c r="Y71" s="19">
        <f>Y53*Inputs!$H$60</f>
        <v>4270.9323541499998</v>
      </c>
      <c r="Z71" s="19">
        <f>Z53*Inputs!$H$60</f>
        <v>4255.1654953500001</v>
      </c>
      <c r="AA71" s="19">
        <f>AA53*Inputs!$H$60</f>
        <v>4250.0289100500004</v>
      </c>
      <c r="AB71" s="19">
        <f>AB53*Inputs!$H$60</f>
        <v>4245.2220541500001</v>
      </c>
      <c r="AC71" s="19">
        <f>AC53*Inputs!$H$60</f>
        <v>4241.5461742499992</v>
      </c>
      <c r="AD71" s="19">
        <f>AD53*Inputs!$H$60</f>
        <v>4239.0298566000001</v>
      </c>
      <c r="AE71" s="19">
        <f>AE53*Inputs!$H$60</f>
        <v>4233.4079980499992</v>
      </c>
      <c r="AF71" s="19">
        <f>AF53*Inputs!$H$60</f>
        <v>4228.4352726000006</v>
      </c>
      <c r="AG71" s="19">
        <f>AG53*Inputs!$H$60</f>
        <v>4224.0276193499994</v>
      </c>
      <c r="AH71" s="19">
        <f>AH53*Inputs!$H$60</f>
        <v>4219.0288717499998</v>
      </c>
    </row>
    <row r="72" spans="1:34" s="20" customFormat="1" ht="15">
      <c r="A72" s="27" t="s">
        <v>222</v>
      </c>
      <c r="B72" s="39"/>
      <c r="C72" s="334">
        <f>C54*Inputs!$H$61</f>
        <v>48.311999999999998</v>
      </c>
      <c r="D72" s="334">
        <f>D54*Inputs!$H$61</f>
        <v>45.441000000000003</v>
      </c>
      <c r="E72" s="334">
        <f>E54*Inputs!$H$61</f>
        <v>24.271726842774619</v>
      </c>
      <c r="F72" s="334">
        <f>F54*Inputs!$H$61</f>
        <v>29.070896331627882</v>
      </c>
      <c r="G72" s="334">
        <f>G54*Inputs!$H$61</f>
        <v>35.96838846465343</v>
      </c>
      <c r="H72" s="19">
        <f>H54*Inputs!$H$61</f>
        <v>35.246959942163656</v>
      </c>
      <c r="I72" s="19">
        <f>I54*Inputs!$H$61</f>
        <v>22.792854842007252</v>
      </c>
      <c r="J72" s="19">
        <f>J54*Inputs!$H$61</f>
        <v>24.641121998277324</v>
      </c>
      <c r="K72" s="19">
        <f>K54*Inputs!$H$61</f>
        <v>24.483527616954785</v>
      </c>
      <c r="L72" s="19">
        <f>L54*Inputs!$H$61</f>
        <v>27.029167885074248</v>
      </c>
      <c r="M72" s="19">
        <f>M54*Inputs!$H$61</f>
        <v>28.099692290977682</v>
      </c>
      <c r="N72" s="190">
        <f>N54*Inputs!$H$61</f>
        <v>29.310723396189129</v>
      </c>
      <c r="O72" s="19">
        <f>O54*Inputs!$H$61</f>
        <v>33.693912083737054</v>
      </c>
      <c r="P72" s="19">
        <f>P54*Inputs!$H$61</f>
        <v>37.77665439438821</v>
      </c>
      <c r="Q72" s="19">
        <f>Q54*Inputs!$H$61</f>
        <v>40.481808522243092</v>
      </c>
      <c r="R72" s="19">
        <f>R54*Inputs!$H$61</f>
        <v>41.547779388864669</v>
      </c>
      <c r="S72" s="19">
        <f>S54*Inputs!$H$61</f>
        <v>43.682873346870629</v>
      </c>
      <c r="T72" s="19">
        <f>T54*Inputs!$H$61</f>
        <v>46.611255704962723</v>
      </c>
      <c r="U72" s="19">
        <f>U54*Inputs!$H$61</f>
        <v>48.316831371871793</v>
      </c>
      <c r="V72" s="19">
        <f>V54*Inputs!$H$61</f>
        <v>49.511937915435745</v>
      </c>
      <c r="W72" s="19">
        <f>W54*Inputs!$H$61</f>
        <v>52.109080156655871</v>
      </c>
      <c r="X72" s="182">
        <f>X54*Inputs!$H$61</f>
        <v>54.41105073886294</v>
      </c>
      <c r="Y72" s="19">
        <f>Y54*Inputs!$H$61</f>
        <v>54.378749413131629</v>
      </c>
      <c r="Z72" s="19">
        <f>Z54*Inputs!$H$61</f>
        <v>56.584697702959815</v>
      </c>
      <c r="AA72" s="19">
        <f>AA54*Inputs!$H$61</f>
        <v>57.617720088661599</v>
      </c>
      <c r="AB72" s="19">
        <f>AB54*Inputs!$H$61</f>
        <v>58.144477294575481</v>
      </c>
      <c r="AC72" s="19">
        <f>AC54*Inputs!$H$61</f>
        <v>58.833633807537261</v>
      </c>
      <c r="AD72" s="19">
        <f>AD54*Inputs!$H$61</f>
        <v>58.456795268009714</v>
      </c>
      <c r="AE72" s="19">
        <f>AE54*Inputs!$H$61</f>
        <v>58.633210651868502</v>
      </c>
      <c r="AF72" s="19">
        <f>AF54*Inputs!$H$61</f>
        <v>59.575387253793984</v>
      </c>
      <c r="AG72" s="19">
        <f>AG54*Inputs!$H$61</f>
        <v>61.800174868785504</v>
      </c>
      <c r="AH72" s="19">
        <f>AH54*Inputs!$H$61</f>
        <v>63.777814430339816</v>
      </c>
    </row>
    <row r="73" spans="1:34" ht="15">
      <c r="A73" s="27" t="s">
        <v>58</v>
      </c>
      <c r="C73" s="331">
        <f>SUM(C70:C72)</f>
        <v>4672.8820799999994</v>
      </c>
      <c r="D73" s="331">
        <f t="shared" ref="D73:AH73" si="27">SUM(D70:D72)</f>
        <v>4936.1860799999995</v>
      </c>
      <c r="E73" s="331">
        <f t="shared" si="27"/>
        <v>4891.788326060363</v>
      </c>
      <c r="F73" s="331">
        <f t="shared" si="27"/>
        <v>4975.9507665702922</v>
      </c>
      <c r="G73" s="331">
        <f t="shared" si="27"/>
        <v>4758.6872166332851</v>
      </c>
      <c r="H73" s="14">
        <f t="shared" si="27"/>
        <v>4912.0297967930055</v>
      </c>
      <c r="I73" s="14">
        <f t="shared" si="27"/>
        <v>5287.7407400370566</v>
      </c>
      <c r="J73" s="14">
        <f t="shared" si="27"/>
        <v>5295.454652759925</v>
      </c>
      <c r="K73" s="14">
        <f t="shared" si="27"/>
        <v>5426.8982129636934</v>
      </c>
      <c r="L73" s="14">
        <f t="shared" si="27"/>
        <v>5457.6160752174319</v>
      </c>
      <c r="M73" s="14">
        <f t="shared" si="27"/>
        <v>5449.942566686701</v>
      </c>
      <c r="N73" s="190">
        <f t="shared" si="27"/>
        <v>5454.282803226406</v>
      </c>
      <c r="O73" s="14">
        <f t="shared" si="27"/>
        <v>5326.7173088463715</v>
      </c>
      <c r="P73" s="14">
        <f t="shared" si="27"/>
        <v>5274.6925082139278</v>
      </c>
      <c r="Q73" s="14">
        <f t="shared" si="27"/>
        <v>5278.8266051188466</v>
      </c>
      <c r="R73" s="14">
        <f t="shared" si="27"/>
        <v>5279.5634631575695</v>
      </c>
      <c r="S73" s="14">
        <f t="shared" si="27"/>
        <v>5284.1819574329747</v>
      </c>
      <c r="T73" s="14">
        <f t="shared" si="27"/>
        <v>5274.0107995267772</v>
      </c>
      <c r="U73" s="14">
        <f t="shared" si="27"/>
        <v>5270.3429723605414</v>
      </c>
      <c r="V73" s="14">
        <f t="shared" si="27"/>
        <v>5265.7983231658473</v>
      </c>
      <c r="W73" s="14">
        <f t="shared" si="27"/>
        <v>5265.0877554960753</v>
      </c>
      <c r="X73" s="187">
        <f t="shared" si="27"/>
        <v>5263.3699202933394</v>
      </c>
      <c r="Y73" s="14">
        <f t="shared" si="27"/>
        <v>5259.4072937748642</v>
      </c>
      <c r="Z73" s="14">
        <f t="shared" si="27"/>
        <v>5247.0107537794611</v>
      </c>
      <c r="AA73" s="14">
        <f t="shared" si="27"/>
        <v>5244.1435392115891</v>
      </c>
      <c r="AB73" s="14">
        <f t="shared" si="27"/>
        <v>5245.0381748653444</v>
      </c>
      <c r="AC73" s="14">
        <f t="shared" si="27"/>
        <v>5245.8682695883281</v>
      </c>
      <c r="AD73" s="14">
        <f t="shared" si="27"/>
        <v>5310.9374555119375</v>
      </c>
      <c r="AE73" s="14">
        <f t="shared" si="27"/>
        <v>5383.7653323488394</v>
      </c>
      <c r="AF73" s="14">
        <f t="shared" si="27"/>
        <v>5401.1830703128981</v>
      </c>
      <c r="AG73" s="14">
        <f t="shared" si="27"/>
        <v>5407.190433374135</v>
      </c>
      <c r="AH73" s="14">
        <f t="shared" si="27"/>
        <v>5417.5388579319879</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activeCell="A11"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48"/>
      <c r="B1" s="548"/>
      <c r="C1" s="548"/>
      <c r="D1" s="548"/>
      <c r="E1" s="548"/>
      <c r="F1" s="548"/>
      <c r="G1" s="548"/>
      <c r="H1" s="548"/>
      <c r="I1" s="548"/>
      <c r="J1" s="548"/>
      <c r="K1" s="548"/>
      <c r="L1" s="548"/>
      <c r="M1" s="548"/>
      <c r="N1" s="548"/>
      <c r="O1" s="548"/>
      <c r="P1" s="548"/>
    </row>
    <row r="2" spans="1:16">
      <c r="A2" s="548"/>
      <c r="B2" s="548"/>
      <c r="C2" s="548"/>
      <c r="D2" s="548"/>
      <c r="E2" s="548"/>
      <c r="F2" s="548"/>
      <c r="G2" s="548"/>
      <c r="H2" s="548"/>
      <c r="I2" s="548"/>
      <c r="J2" s="548"/>
      <c r="K2" s="548"/>
      <c r="L2" s="548"/>
      <c r="M2" s="548"/>
      <c r="N2" s="548"/>
      <c r="O2" s="548"/>
      <c r="P2" s="548"/>
    </row>
    <row r="3" spans="1:16">
      <c r="A3" s="548"/>
      <c r="B3" s="548"/>
      <c r="C3" s="548"/>
      <c r="D3" s="548"/>
      <c r="E3" s="548"/>
      <c r="F3" s="548"/>
      <c r="G3" s="548"/>
      <c r="H3" s="548"/>
      <c r="I3" s="548"/>
      <c r="J3" s="548"/>
      <c r="K3" s="548"/>
      <c r="L3" s="548"/>
      <c r="M3" s="548"/>
      <c r="N3" s="548"/>
      <c r="O3" s="548"/>
      <c r="P3" s="548"/>
    </row>
    <row r="4" spans="1:16">
      <c r="A4" s="548"/>
      <c r="B4" s="548"/>
      <c r="C4" s="548"/>
      <c r="D4" s="548"/>
      <c r="E4" s="548"/>
      <c r="F4" s="548"/>
      <c r="G4" s="548"/>
      <c r="H4" s="548"/>
      <c r="I4" s="548"/>
      <c r="J4" s="548"/>
      <c r="K4" s="548"/>
      <c r="L4" s="548"/>
      <c r="M4" s="548"/>
      <c r="N4" s="548"/>
      <c r="O4" s="548"/>
      <c r="P4" s="548"/>
    </row>
    <row r="5" spans="1:16">
      <c r="A5" s="548"/>
      <c r="B5" s="548"/>
      <c r="C5" s="548"/>
      <c r="D5" s="548"/>
      <c r="E5" s="548"/>
      <c r="F5" s="548"/>
      <c r="G5" s="548"/>
      <c r="H5" s="548"/>
      <c r="I5" s="548"/>
      <c r="J5" s="548"/>
      <c r="K5" s="548"/>
      <c r="L5" s="548"/>
      <c r="M5" s="548"/>
      <c r="N5" s="548"/>
      <c r="O5" s="548"/>
      <c r="P5" s="548"/>
    </row>
    <row r="6" spans="1:16">
      <c r="A6" s="548"/>
      <c r="B6" s="548"/>
      <c r="C6" s="548"/>
      <c r="D6" s="548"/>
      <c r="E6" s="548"/>
      <c r="F6" s="548"/>
      <c r="G6" s="548"/>
      <c r="H6" s="548"/>
      <c r="I6" s="548"/>
      <c r="J6" s="548"/>
      <c r="K6" s="548"/>
      <c r="L6" s="548"/>
      <c r="M6" s="548"/>
      <c r="N6" s="548"/>
      <c r="O6" s="548"/>
      <c r="P6" s="548"/>
    </row>
    <row r="7" spans="1:16">
      <c r="A7" s="548"/>
      <c r="B7" s="548"/>
      <c r="C7" s="548"/>
      <c r="D7" s="548"/>
      <c r="E7" s="548"/>
      <c r="F7" s="548"/>
      <c r="G7" s="548"/>
      <c r="H7" s="548"/>
      <c r="I7" s="548"/>
      <c r="J7" s="548"/>
      <c r="K7" s="548"/>
      <c r="L7" s="548"/>
      <c r="M7" s="548"/>
      <c r="N7" s="548"/>
      <c r="O7" s="548"/>
      <c r="P7" s="548"/>
    </row>
    <row r="8" spans="1:16">
      <c r="A8" s="548"/>
      <c r="B8" s="548"/>
      <c r="C8" s="548"/>
      <c r="D8" s="548"/>
      <c r="E8" s="548"/>
      <c r="F8" s="548"/>
      <c r="G8" s="548"/>
      <c r="H8" s="548"/>
      <c r="I8" s="548"/>
      <c r="J8" s="548"/>
      <c r="K8" s="548"/>
      <c r="L8" s="548"/>
      <c r="M8" s="548"/>
      <c r="N8" s="548"/>
      <c r="O8" s="548"/>
      <c r="P8" s="548"/>
    </row>
    <row r="9" spans="1:16" ht="2.25" customHeight="1">
      <c r="A9" s="548"/>
      <c r="B9" s="548"/>
      <c r="C9" s="548"/>
      <c r="D9" s="548"/>
      <c r="E9" s="548"/>
      <c r="F9" s="548"/>
      <c r="G9" s="548"/>
      <c r="H9" s="548"/>
      <c r="I9" s="548"/>
      <c r="J9" s="548"/>
      <c r="K9" s="548"/>
      <c r="L9" s="548"/>
      <c r="M9" s="548"/>
      <c r="N9" s="548"/>
      <c r="O9" s="548"/>
      <c r="P9" s="548"/>
    </row>
    <row r="10" spans="1:16" hidden="1">
      <c r="A10" s="548"/>
      <c r="B10" s="548"/>
      <c r="C10" s="548"/>
      <c r="D10" s="548"/>
      <c r="E10" s="548"/>
      <c r="F10" s="548"/>
      <c r="G10" s="548"/>
      <c r="H10" s="548"/>
      <c r="I10" s="548"/>
      <c r="J10" s="548"/>
      <c r="K10" s="548"/>
      <c r="L10" s="548"/>
      <c r="M10" s="548"/>
      <c r="N10" s="548"/>
      <c r="O10" s="548"/>
      <c r="P10" s="548"/>
    </row>
    <row r="11" spans="1:16">
      <c r="A11" s="549" t="s">
        <v>212</v>
      </c>
      <c r="B11" s="551">
        <v>2000</v>
      </c>
      <c r="C11" s="553" t="s">
        <v>219</v>
      </c>
      <c r="D11" s="553" t="s">
        <v>556</v>
      </c>
      <c r="E11" s="556" t="s">
        <v>213</v>
      </c>
      <c r="F11" s="557"/>
      <c r="G11" s="551"/>
      <c r="H11" s="560" t="s">
        <v>557</v>
      </c>
      <c r="I11" s="561"/>
      <c r="J11" s="561"/>
      <c r="K11" s="561"/>
      <c r="L11" s="561"/>
      <c r="M11" s="561"/>
      <c r="N11" s="561"/>
      <c r="O11" s="562"/>
    </row>
    <row r="12" spans="1:16">
      <c r="A12" s="550"/>
      <c r="B12" s="552"/>
      <c r="C12" s="554"/>
      <c r="D12" s="554"/>
      <c r="E12" s="558"/>
      <c r="F12" s="559"/>
      <c r="G12" s="552"/>
      <c r="H12" s="559" t="s">
        <v>214</v>
      </c>
      <c r="I12" s="552"/>
      <c r="J12" s="558" t="s">
        <v>215</v>
      </c>
      <c r="K12" s="552"/>
      <c r="L12" s="558" t="s">
        <v>216</v>
      </c>
      <c r="M12" s="559"/>
      <c r="N12" s="559"/>
      <c r="O12" s="552"/>
    </row>
    <row r="13" spans="1:16" ht="67" thickBot="1">
      <c r="A13" s="211" t="s">
        <v>217</v>
      </c>
      <c r="B13" s="211" t="s">
        <v>218</v>
      </c>
      <c r="C13" s="555"/>
      <c r="D13" s="555"/>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44">
        <f>AVERAGE(N14:N15)</f>
        <v>0.20532702121944668</v>
      </c>
    </row>
    <row r="15" spans="1:16" ht="13" thickBot="1">
      <c r="A15" s="223" t="s">
        <v>564</v>
      </c>
      <c r="B15" s="223" t="s">
        <v>565</v>
      </c>
      <c r="C15" s="224">
        <v>0.85</v>
      </c>
      <c r="D15" s="225">
        <v>40</v>
      </c>
      <c r="E15" s="226">
        <v>8.5</v>
      </c>
      <c r="F15" s="432">
        <v>0.24</v>
      </c>
      <c r="G15" s="530">
        <v>0.13</v>
      </c>
      <c r="H15" s="414">
        <f t="shared" si="0"/>
        <v>0.21249999999999999</v>
      </c>
      <c r="I15" s="530">
        <f t="shared" si="1"/>
        <v>1.2079800000000001</v>
      </c>
      <c r="J15" s="427">
        <f t="shared" si="2"/>
        <v>0.25</v>
      </c>
      <c r="K15" s="530">
        <f t="shared" si="3"/>
        <v>1.4211529411764707</v>
      </c>
      <c r="L15" s="427">
        <f t="shared" si="4"/>
        <v>2.8538812785388126E-2</v>
      </c>
      <c r="M15" s="530">
        <f t="shared" si="4"/>
        <v>0.16223207091055603</v>
      </c>
      <c r="N15" s="419">
        <f t="shared" si="5"/>
        <v>0.19077088369594414</v>
      </c>
      <c r="O15" s="545"/>
    </row>
    <row r="16" spans="1:16">
      <c r="A16" s="227" t="s">
        <v>566</v>
      </c>
      <c r="B16" s="227" t="s">
        <v>567</v>
      </c>
      <c r="C16" s="228">
        <v>0.9</v>
      </c>
      <c r="D16" s="229">
        <v>40</v>
      </c>
      <c r="E16" s="230">
        <f>36000/5600</f>
        <v>6.4285714285714288</v>
      </c>
      <c r="F16" s="464">
        <f>10000/5600</f>
        <v>1.7857142857142858</v>
      </c>
      <c r="G16" s="230">
        <v>0</v>
      </c>
      <c r="H16" s="412">
        <f t="shared" si="0"/>
        <v>0.16071428571428573</v>
      </c>
      <c r="I16" s="531">
        <f t="shared" si="1"/>
        <v>1.7857142857142858</v>
      </c>
      <c r="J16" s="428">
        <f t="shared" si="2"/>
        <v>0.17857142857142858</v>
      </c>
      <c r="K16" s="531">
        <f t="shared" si="3"/>
        <v>1.9841269841269842</v>
      </c>
      <c r="L16" s="428">
        <f t="shared" si="4"/>
        <v>2.0384866275277233E-2</v>
      </c>
      <c r="M16" s="531">
        <f t="shared" si="4"/>
        <v>0.22649851416974706</v>
      </c>
      <c r="N16" s="421">
        <f t="shared" si="5"/>
        <v>0.24688338044502428</v>
      </c>
      <c r="O16" s="546">
        <f>AVERAGE(N16:N18)</f>
        <v>0.24750247638375492</v>
      </c>
    </row>
    <row r="17" spans="1:15">
      <c r="A17" s="217" t="s">
        <v>568</v>
      </c>
      <c r="B17" s="217" t="s">
        <v>312</v>
      </c>
      <c r="C17" s="218">
        <v>0.9</v>
      </c>
      <c r="D17" s="219">
        <v>40</v>
      </c>
      <c r="E17" s="216">
        <v>17.5</v>
      </c>
      <c r="F17" s="529">
        <v>1.7</v>
      </c>
      <c r="G17" s="216">
        <v>0</v>
      </c>
      <c r="H17" s="528">
        <f>E17/D17</f>
        <v>0.4375</v>
      </c>
      <c r="I17" s="532">
        <f>F17+G17*8760/1000*C17</f>
        <v>1.7</v>
      </c>
      <c r="J17" s="429">
        <f>H17/C17</f>
        <v>0.4861111111111111</v>
      </c>
      <c r="K17" s="532">
        <f>I17/C17</f>
        <v>1.8888888888888888</v>
      </c>
      <c r="L17" s="429">
        <f t="shared" si="4"/>
        <v>5.5492135971588023E-2</v>
      </c>
      <c r="M17" s="532">
        <f t="shared" si="4"/>
        <v>0.21562658548959918</v>
      </c>
      <c r="N17" s="420">
        <f>SUM(L17:M17)</f>
        <v>0.27111872146118721</v>
      </c>
      <c r="O17" s="547"/>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45"/>
    </row>
    <row r="19" spans="1:15">
      <c r="A19" s="227" t="s">
        <v>570</v>
      </c>
      <c r="B19" s="227" t="s">
        <v>312</v>
      </c>
      <c r="C19" s="228">
        <v>0.85</v>
      </c>
      <c r="D19" s="229">
        <v>40</v>
      </c>
      <c r="E19" s="230">
        <v>21.3</v>
      </c>
      <c r="F19" s="464">
        <v>7.8</v>
      </c>
      <c r="G19" s="230">
        <v>0</v>
      </c>
      <c r="H19" s="412">
        <f>E19/D19</f>
        <v>0.53249999999999997</v>
      </c>
      <c r="I19" s="531">
        <f>F19+G19*8760/1000*C19</f>
        <v>7.8</v>
      </c>
      <c r="J19" s="428">
        <f>H19/C19</f>
        <v>0.62647058823529411</v>
      </c>
      <c r="K19" s="531">
        <f>I19/C19</f>
        <v>9.1764705882352935</v>
      </c>
      <c r="L19" s="428">
        <f t="shared" si="4"/>
        <v>7.1514907332796127E-2</v>
      </c>
      <c r="M19" s="531">
        <f t="shared" si="4"/>
        <v>1.0475423045930701</v>
      </c>
      <c r="N19" s="421">
        <f>SUM(L19:M19)</f>
        <v>1.1190572119258662</v>
      </c>
      <c r="O19" s="546">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45"/>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3">
        <f>F22+G22*8760/1000*C22</f>
        <v>1</v>
      </c>
      <c r="J22" s="431">
        <f>H22/C22</f>
        <v>7.3999999999999995</v>
      </c>
      <c r="K22" s="533">
        <f>I22/C22</f>
        <v>5</v>
      </c>
      <c r="L22" s="431">
        <f>J22/8760*1000</f>
        <v>0.84474885844748848</v>
      </c>
      <c r="M22" s="533">
        <f>K22/8760*1000</f>
        <v>0.57077625570776247</v>
      </c>
      <c r="N22" s="426">
        <f>SUM(L22:M22)</f>
        <v>1.415525114155251</v>
      </c>
      <c r="O22" s="566">
        <f>N39</f>
        <v>0.79313246811604099</v>
      </c>
    </row>
    <row r="23" spans="1:15">
      <c r="A23" s="455" t="s">
        <v>310</v>
      </c>
      <c r="B23" s="455" t="s">
        <v>221</v>
      </c>
      <c r="C23" s="456">
        <v>0.2</v>
      </c>
      <c r="D23" s="457">
        <v>25</v>
      </c>
      <c r="E23" s="458">
        <v>32.340000000000003</v>
      </c>
      <c r="F23" s="467">
        <v>0.37</v>
      </c>
      <c r="G23" s="458">
        <v>0</v>
      </c>
      <c r="H23" s="459">
        <f t="shared" si="0"/>
        <v>1.2936000000000001</v>
      </c>
      <c r="I23" s="527">
        <f t="shared" si="1"/>
        <v>0.37</v>
      </c>
      <c r="J23" s="460">
        <f t="shared" si="2"/>
        <v>6.468</v>
      </c>
      <c r="K23" s="527">
        <f t="shared" si="3"/>
        <v>1.8499999999999999</v>
      </c>
      <c r="L23" s="460">
        <f t="shared" si="4"/>
        <v>0.73835616438356166</v>
      </c>
      <c r="M23" s="527">
        <f t="shared" si="4"/>
        <v>0.21118721461187212</v>
      </c>
      <c r="N23" s="461">
        <f t="shared" si="5"/>
        <v>0.94954337899543373</v>
      </c>
      <c r="O23" s="567"/>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8"/>
    </row>
    <row r="25" spans="1:15">
      <c r="A25" s="227" t="s">
        <v>434</v>
      </c>
      <c r="B25" s="227" t="s">
        <v>438</v>
      </c>
      <c r="C25" s="240">
        <v>0.4</v>
      </c>
      <c r="D25" s="229">
        <v>25</v>
      </c>
      <c r="E25" s="230">
        <f>10310/1000</f>
        <v>10.31</v>
      </c>
      <c r="F25" s="464">
        <v>1</v>
      </c>
      <c r="G25" s="230">
        <v>0</v>
      </c>
      <c r="H25" s="424">
        <f t="shared" si="0"/>
        <v>0.41240000000000004</v>
      </c>
      <c r="I25" s="533">
        <f t="shared" si="1"/>
        <v>1</v>
      </c>
      <c r="J25" s="431">
        <f t="shared" si="2"/>
        <v>1.0310000000000001</v>
      </c>
      <c r="K25" s="533">
        <f t="shared" si="3"/>
        <v>2.5</v>
      </c>
      <c r="L25" s="431">
        <f t="shared" si="4"/>
        <v>0.11769406392694066</v>
      </c>
      <c r="M25" s="533">
        <f t="shared" si="4"/>
        <v>0.28538812785388123</v>
      </c>
      <c r="N25" s="426">
        <f t="shared" si="5"/>
        <v>0.40308219178082189</v>
      </c>
      <c r="O25" s="546">
        <f>AVERAGE(N25:N26,N27)</f>
        <v>0.23028919330289191</v>
      </c>
    </row>
    <row r="26" spans="1:15">
      <c r="A26" s="214" t="s">
        <v>435</v>
      </c>
      <c r="B26" s="214" t="s">
        <v>437</v>
      </c>
      <c r="C26" s="220">
        <v>0.4</v>
      </c>
      <c r="D26" s="215">
        <v>25</v>
      </c>
      <c r="E26" s="216">
        <v>4.5</v>
      </c>
      <c r="F26" s="529">
        <v>0.38</v>
      </c>
      <c r="G26" s="532">
        <v>0</v>
      </c>
      <c r="H26" s="415">
        <f t="shared" si="0"/>
        <v>0.18</v>
      </c>
      <c r="I26" s="532">
        <f t="shared" si="1"/>
        <v>0.38</v>
      </c>
      <c r="J26" s="429">
        <f t="shared" si="2"/>
        <v>0.44999999999999996</v>
      </c>
      <c r="K26" s="532">
        <f t="shared" si="3"/>
        <v>0.95</v>
      </c>
      <c r="L26" s="429">
        <f t="shared" si="4"/>
        <v>5.1369863013698627E-2</v>
      </c>
      <c r="M26" s="532">
        <f t="shared" si="4"/>
        <v>0.10844748858447488</v>
      </c>
      <c r="N26" s="420">
        <f t="shared" si="5"/>
        <v>0.15981735159817351</v>
      </c>
      <c r="O26" s="547"/>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45"/>
    </row>
    <row r="28" spans="1:15">
      <c r="A28" s="241" t="s">
        <v>574</v>
      </c>
      <c r="B28" s="241" t="s">
        <v>362</v>
      </c>
      <c r="C28" s="240">
        <v>0.35</v>
      </c>
      <c r="D28" s="229">
        <v>25</v>
      </c>
      <c r="E28" s="230">
        <v>10.1</v>
      </c>
      <c r="F28" s="464">
        <v>0.4</v>
      </c>
      <c r="G28" s="531">
        <v>0</v>
      </c>
      <c r="H28" s="425">
        <f t="shared" si="0"/>
        <v>0.40399999999999997</v>
      </c>
      <c r="I28" s="531">
        <f t="shared" si="1"/>
        <v>0.4</v>
      </c>
      <c r="J28" s="428">
        <f t="shared" si="2"/>
        <v>1.1542857142857144</v>
      </c>
      <c r="K28" s="531">
        <f t="shared" si="3"/>
        <v>1.142857142857143</v>
      </c>
      <c r="L28" s="428">
        <f t="shared" si="4"/>
        <v>0.13176777560339206</v>
      </c>
      <c r="M28" s="531">
        <f t="shared" si="4"/>
        <v>0.13046314416177432</v>
      </c>
      <c r="N28" s="421">
        <f t="shared" si="5"/>
        <v>0.26223091976516638</v>
      </c>
      <c r="O28" s="546">
        <f>AVERAGE(N28,N29,N30:N32)</f>
        <v>0.16974559686888452</v>
      </c>
    </row>
    <row r="29" spans="1:15">
      <c r="A29" s="214" t="s">
        <v>220</v>
      </c>
      <c r="B29" s="214" t="s">
        <v>221</v>
      </c>
      <c r="C29" s="220">
        <v>0.35</v>
      </c>
      <c r="D29" s="219">
        <v>25</v>
      </c>
      <c r="E29" s="216">
        <v>3.8</v>
      </c>
      <c r="F29" s="529">
        <v>0.14399999999999999</v>
      </c>
      <c r="G29" s="532">
        <v>0</v>
      </c>
      <c r="H29" s="415">
        <f t="shared" si="0"/>
        <v>0.152</v>
      </c>
      <c r="I29" s="532">
        <f t="shared" si="1"/>
        <v>0.14399999999999999</v>
      </c>
      <c r="J29" s="429">
        <f t="shared" si="2"/>
        <v>0.43428571428571427</v>
      </c>
      <c r="K29" s="532">
        <f t="shared" si="3"/>
        <v>0.41142857142857142</v>
      </c>
      <c r="L29" s="429">
        <f t="shared" si="4"/>
        <v>4.9575994781474238E-2</v>
      </c>
      <c r="M29" s="532">
        <f t="shared" si="4"/>
        <v>4.6966731898238752E-2</v>
      </c>
      <c r="N29" s="420">
        <f t="shared" si="5"/>
        <v>9.654272667971299E-2</v>
      </c>
      <c r="O29" s="547"/>
    </row>
    <row r="30" spans="1:15">
      <c r="A30" s="214" t="s">
        <v>361</v>
      </c>
      <c r="B30" s="214" t="s">
        <v>575</v>
      </c>
      <c r="C30" s="220">
        <v>0.35</v>
      </c>
      <c r="D30" s="215">
        <v>25</v>
      </c>
      <c r="E30" s="532">
        <v>10.96</v>
      </c>
      <c r="F30" s="429">
        <v>0.17499999999999999</v>
      </c>
      <c r="G30" s="532">
        <v>0</v>
      </c>
      <c r="H30" s="415">
        <f t="shared" si="0"/>
        <v>0.43840000000000001</v>
      </c>
      <c r="I30" s="532">
        <f t="shared" si="1"/>
        <v>0.17499999999999999</v>
      </c>
      <c r="J30" s="429">
        <f t="shared" si="2"/>
        <v>1.2525714285714287</v>
      </c>
      <c r="K30" s="532">
        <f t="shared" si="3"/>
        <v>0.5</v>
      </c>
      <c r="L30" s="429">
        <f t="shared" si="4"/>
        <v>0.14298760600130464</v>
      </c>
      <c r="M30" s="532">
        <f t="shared" si="4"/>
        <v>5.7077625570776253E-2</v>
      </c>
      <c r="N30" s="420">
        <f t="shared" si="5"/>
        <v>0.20006523157208089</v>
      </c>
      <c r="O30" s="547"/>
    </row>
    <row r="31" spans="1:15">
      <c r="A31" s="214" t="s">
        <v>576</v>
      </c>
      <c r="B31" s="214" t="s">
        <v>312</v>
      </c>
      <c r="C31" s="220">
        <v>0.35</v>
      </c>
      <c r="D31" s="215">
        <v>25</v>
      </c>
      <c r="E31" s="532">
        <v>7.4</v>
      </c>
      <c r="F31" s="429">
        <v>0.2</v>
      </c>
      <c r="G31" s="532">
        <v>0</v>
      </c>
      <c r="H31" s="415">
        <f t="shared" si="0"/>
        <v>0.29600000000000004</v>
      </c>
      <c r="I31" s="532">
        <f t="shared" si="1"/>
        <v>0.2</v>
      </c>
      <c r="J31" s="429">
        <f t="shared" si="2"/>
        <v>0.84571428571428586</v>
      </c>
      <c r="K31" s="532">
        <f t="shared" si="3"/>
        <v>0.57142857142857151</v>
      </c>
      <c r="L31" s="429">
        <f t="shared" si="4"/>
        <v>9.6542726679713003E-2</v>
      </c>
      <c r="M31" s="532">
        <f t="shared" si="4"/>
        <v>6.523157208088716E-2</v>
      </c>
      <c r="N31" s="420">
        <f t="shared" si="5"/>
        <v>0.16177429876060018</v>
      </c>
      <c r="O31" s="547"/>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45"/>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36" t="s">
        <v>0</v>
      </c>
      <c r="F37" s="537"/>
      <c r="G37" s="537"/>
      <c r="H37" s="537"/>
      <c r="I37" s="537"/>
      <c r="J37" s="537"/>
      <c r="K37" s="537"/>
      <c r="L37" s="537"/>
      <c r="M37" s="538"/>
      <c r="N37" s="418">
        <v>0.17</v>
      </c>
      <c r="O37" s="539">
        <f>AVERAGE(N37,N38)</f>
        <v>0.38</v>
      </c>
    </row>
    <row r="38" spans="1:15">
      <c r="A38" s="214" t="s">
        <v>428</v>
      </c>
      <c r="B38" s="214" t="s">
        <v>430</v>
      </c>
      <c r="C38" s="221">
        <v>1</v>
      </c>
      <c r="D38" s="215">
        <v>20</v>
      </c>
      <c r="E38" s="541" t="s">
        <v>0</v>
      </c>
      <c r="F38" s="542"/>
      <c r="G38" s="542"/>
      <c r="H38" s="542"/>
      <c r="I38" s="542"/>
      <c r="J38" s="542"/>
      <c r="K38" s="542"/>
      <c r="L38" s="542"/>
      <c r="M38" s="543"/>
      <c r="N38" s="420">
        <v>0.59</v>
      </c>
      <c r="O38" s="540"/>
    </row>
    <row r="39" spans="1:15">
      <c r="A39" s="81" t="s">
        <v>758</v>
      </c>
      <c r="B39" s="81" t="s">
        <v>759</v>
      </c>
      <c r="C39" s="569">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0"/>
    </row>
  </sheetData>
  <mergeCells count="19">
    <mergeCell ref="A1:P10"/>
    <mergeCell ref="A11:A12"/>
    <mergeCell ref="B11:B12"/>
    <mergeCell ref="C11:C13"/>
    <mergeCell ref="D11:D13"/>
    <mergeCell ref="E11:G12"/>
    <mergeCell ref="H11:O11"/>
    <mergeCell ref="H12:I12"/>
    <mergeCell ref="J12:K12"/>
    <mergeCell ref="L12:O12"/>
    <mergeCell ref="E37:M37"/>
    <mergeCell ref="O37:O38"/>
    <mergeCell ref="E38:M38"/>
    <mergeCell ref="O14:O15"/>
    <mergeCell ref="O16:O18"/>
    <mergeCell ref="O19:O20"/>
    <mergeCell ref="O22:O24"/>
    <mergeCell ref="O25:O27"/>
    <mergeCell ref="O28:O3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3"/>
      <c r="C1" s="563"/>
      <c r="D1" s="563"/>
      <c r="E1" s="563"/>
      <c r="F1" s="563"/>
      <c r="G1" s="563"/>
      <c r="H1" s="563"/>
      <c r="I1" s="563"/>
      <c r="J1" s="563"/>
      <c r="K1" s="563"/>
      <c r="L1" s="563"/>
    </row>
    <row r="2" spans="1:12">
      <c r="B2" s="563"/>
      <c r="C2" s="563"/>
      <c r="D2" s="563"/>
      <c r="E2" s="563"/>
      <c r="F2" s="563"/>
      <c r="G2" s="563"/>
      <c r="H2" s="563"/>
      <c r="I2" s="563"/>
      <c r="J2" s="563"/>
      <c r="K2" s="563"/>
      <c r="L2" s="563"/>
    </row>
    <row r="3" spans="1:12">
      <c r="B3" s="563"/>
      <c r="C3" s="563"/>
      <c r="D3" s="563"/>
      <c r="E3" s="563"/>
      <c r="F3" s="563"/>
      <c r="G3" s="563"/>
      <c r="H3" s="563"/>
      <c r="I3" s="563"/>
      <c r="J3" s="563"/>
      <c r="K3" s="563"/>
      <c r="L3" s="563"/>
    </row>
    <row r="4" spans="1:12">
      <c r="B4" s="563"/>
      <c r="C4" s="563"/>
      <c r="D4" s="563"/>
      <c r="E4" s="563"/>
      <c r="F4" s="563"/>
      <c r="G4" s="563"/>
      <c r="H4" s="563"/>
      <c r="I4" s="563"/>
      <c r="J4" s="563"/>
      <c r="K4" s="563"/>
      <c r="L4" s="563"/>
    </row>
    <row r="5" spans="1:12">
      <c r="B5" s="563"/>
      <c r="C5" s="563"/>
      <c r="D5" s="563"/>
      <c r="E5" s="563"/>
      <c r="F5" s="563"/>
      <c r="G5" s="563"/>
      <c r="H5" s="563"/>
      <c r="I5" s="563"/>
      <c r="J5" s="563"/>
      <c r="K5" s="563"/>
      <c r="L5" s="563"/>
    </row>
    <row r="6" spans="1:12">
      <c r="B6" s="563"/>
      <c r="C6" s="563"/>
      <c r="D6" s="563"/>
      <c r="E6" s="563"/>
      <c r="F6" s="563"/>
      <c r="G6" s="563"/>
      <c r="H6" s="563"/>
      <c r="I6" s="563"/>
      <c r="J6" s="563"/>
      <c r="K6" s="563"/>
      <c r="L6" s="563"/>
    </row>
    <row r="7" spans="1:12">
      <c r="B7" s="563"/>
      <c r="C7" s="563"/>
      <c r="D7" s="563"/>
      <c r="E7" s="563"/>
      <c r="F7" s="563"/>
      <c r="G7" s="563"/>
      <c r="H7" s="563"/>
      <c r="I7" s="563"/>
      <c r="J7" s="563"/>
      <c r="K7" s="563"/>
      <c r="L7" s="563"/>
    </row>
    <row r="8" spans="1:12">
      <c r="B8" s="563"/>
      <c r="C8" s="563"/>
      <c r="D8" s="563"/>
      <c r="E8" s="563"/>
      <c r="F8" s="563"/>
      <c r="G8" s="563"/>
      <c r="H8" s="563"/>
      <c r="I8" s="563"/>
      <c r="J8" s="563"/>
      <c r="K8" s="563"/>
      <c r="L8" s="563"/>
    </row>
    <row r="9" spans="1:12" ht="48" customHeight="1">
      <c r="B9" s="563"/>
      <c r="C9" s="563"/>
      <c r="D9" s="563"/>
      <c r="E9" s="563"/>
      <c r="F9" s="563"/>
      <c r="G9" s="563"/>
      <c r="H9" s="563"/>
      <c r="I9" s="563"/>
      <c r="J9" s="563"/>
      <c r="K9" s="563"/>
      <c r="L9" s="563"/>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6" zoomScale="125" zoomScaleNormal="125" zoomScalePageLayoutView="125" workbookViewId="0">
      <pane xSplit="1" topLeftCell="B1" activePane="topRight" state="frozen"/>
      <selection activeCell="A33" sqref="A33"/>
      <selection pane="topRight" activeCell="AM37" sqref="AM37"/>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756</v>
      </c>
    </row>
    <row r="35" spans="1:44" s="251" customFormat="1">
      <c r="A35" s="250" t="s">
        <v>754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120.72598600000001</v>
      </c>
      <c r="H36" s="499">
        <v>121.06158400000001</v>
      </c>
      <c r="I36" s="499">
        <v>112.142273</v>
      </c>
      <c r="J36" s="499">
        <v>116.45523</v>
      </c>
      <c r="K36" s="499">
        <v>126.13446500000001</v>
      </c>
      <c r="L36" s="499">
        <v>125.40347299999999</v>
      </c>
      <c r="M36" s="499">
        <v>129.15868</v>
      </c>
      <c r="N36" s="499">
        <v>129.98703799999998</v>
      </c>
      <c r="O36" s="499">
        <v>129.736031</v>
      </c>
      <c r="P36" s="499">
        <v>129.82670200000001</v>
      </c>
      <c r="Q36" s="499">
        <v>126.001102</v>
      </c>
      <c r="R36" s="499">
        <v>124.37423700000001</v>
      </c>
      <c r="S36" s="499">
        <v>124.420585</v>
      </c>
      <c r="T36" s="499">
        <v>124.41148000000001</v>
      </c>
      <c r="U36" s="499">
        <v>124.460621</v>
      </c>
      <c r="V36" s="499">
        <v>124.04736299999999</v>
      </c>
      <c r="W36" s="499">
        <v>123.85875300000001</v>
      </c>
      <c r="X36" s="499">
        <v>123.67757</v>
      </c>
      <c r="Y36" s="499">
        <v>123.55519900000002</v>
      </c>
      <c r="Z36" s="499">
        <v>123.411175</v>
      </c>
      <c r="AA36" s="499">
        <v>123.259231</v>
      </c>
      <c r="AB36" s="499">
        <v>122.804199</v>
      </c>
      <c r="AC36" s="499">
        <v>122.655957</v>
      </c>
      <c r="AD36" s="499">
        <v>122.517231</v>
      </c>
      <c r="AE36" s="499">
        <v>122.411145</v>
      </c>
      <c r="AF36" s="499">
        <v>122.33852399999999</v>
      </c>
      <c r="AG36" s="499">
        <v>122.176277</v>
      </c>
      <c r="AH36" s="499">
        <v>122.03276400000001</v>
      </c>
      <c r="AI36" s="499">
        <v>121.905559</v>
      </c>
      <c r="AJ36" s="499">
        <v>121.76129499999999</v>
      </c>
      <c r="AK36" s="503">
        <v>0.03</v>
      </c>
      <c r="AL36" s="515" t="s">
        <v>68</v>
      </c>
      <c r="AM36" s="518">
        <v>0.35</v>
      </c>
    </row>
    <row r="37" spans="1:44" s="251" customFormat="1">
      <c r="A37" s="501" t="s">
        <v>721</v>
      </c>
      <c r="G37" s="499">
        <v>0.62127200000000005</v>
      </c>
      <c r="H37" s="499">
        <v>0.59678000000000009</v>
      </c>
      <c r="I37" s="499">
        <v>0.89980700000000002</v>
      </c>
      <c r="J37" s="499">
        <v>0.91695899999999997</v>
      </c>
      <c r="K37" s="499">
        <v>0.95265</v>
      </c>
      <c r="L37" s="499">
        <v>0.95290999999999992</v>
      </c>
      <c r="M37" s="499">
        <v>0.96764600000000001</v>
      </c>
      <c r="N37" s="499">
        <v>0.97380100000000003</v>
      </c>
      <c r="O37" s="499">
        <v>0.97239200000000003</v>
      </c>
      <c r="P37" s="499">
        <v>0.97311999999999999</v>
      </c>
      <c r="Q37" s="499">
        <v>0.95820799999999995</v>
      </c>
      <c r="R37" s="499">
        <v>0.95167100000000004</v>
      </c>
      <c r="S37" s="499">
        <v>0.95186300000000001</v>
      </c>
      <c r="T37" s="499">
        <v>0.95210400000000006</v>
      </c>
      <c r="U37" s="499">
        <v>0.95268299999999995</v>
      </c>
      <c r="V37" s="499">
        <v>0.951658</v>
      </c>
      <c r="W37" s="499">
        <v>0.95044600000000001</v>
      </c>
      <c r="X37" s="499">
        <v>0.94969800000000004</v>
      </c>
      <c r="Y37" s="499">
        <v>0.94920400000000005</v>
      </c>
      <c r="Z37" s="499">
        <v>0.94862599999999997</v>
      </c>
      <c r="AA37" s="499">
        <v>0.94799899999999993</v>
      </c>
      <c r="AB37" s="499">
        <v>0.94740899999999995</v>
      </c>
      <c r="AC37" s="499">
        <v>0.946828</v>
      </c>
      <c r="AD37" s="499">
        <v>0.94627399999999995</v>
      </c>
      <c r="AE37" s="499">
        <v>0.94586000000000003</v>
      </c>
      <c r="AF37" s="499">
        <v>0.94559100000000007</v>
      </c>
      <c r="AG37" s="499">
        <v>0.94483800000000007</v>
      </c>
      <c r="AH37" s="499">
        <v>0.94430499999999995</v>
      </c>
      <c r="AI37" s="499">
        <v>0.94387900000000002</v>
      </c>
      <c r="AJ37" s="499">
        <v>0.94330599999999998</v>
      </c>
      <c r="AK37" s="503">
        <v>-3.7999999999999999E-2</v>
      </c>
      <c r="AL37" s="516" t="s">
        <v>69</v>
      </c>
      <c r="AM37" s="518">
        <v>7.8595415246835734E-2</v>
      </c>
    </row>
    <row r="38" spans="1:44" s="251" customFormat="1">
      <c r="A38" s="501" t="s">
        <v>722</v>
      </c>
      <c r="G38" s="499">
        <v>33.117148999999998</v>
      </c>
      <c r="H38" s="499">
        <v>39.665295</v>
      </c>
      <c r="I38" s="499">
        <v>49.076461999999999</v>
      </c>
      <c r="J38" s="499">
        <v>48.092121000000006</v>
      </c>
      <c r="K38" s="499">
        <v>31.099326999999999</v>
      </c>
      <c r="L38" s="499">
        <v>33.621164</v>
      </c>
      <c r="M38" s="499">
        <v>33.406137000000001</v>
      </c>
      <c r="N38" s="499">
        <v>36.879492999999997</v>
      </c>
      <c r="O38" s="499">
        <v>38.340152000000003</v>
      </c>
      <c r="P38" s="499">
        <v>39.992522999999998</v>
      </c>
      <c r="Q38" s="499">
        <v>45.973090999999997</v>
      </c>
      <c r="R38" s="499">
        <v>51.54372</v>
      </c>
      <c r="S38" s="499">
        <v>55.234722000000005</v>
      </c>
      <c r="T38" s="499">
        <v>56.689168000000002</v>
      </c>
      <c r="U38" s="499">
        <v>59.602361000000002</v>
      </c>
      <c r="V38" s="499">
        <v>63.597943000000001</v>
      </c>
      <c r="W38" s="499">
        <v>65.925087000000005</v>
      </c>
      <c r="X38" s="499">
        <v>67.555729999999997</v>
      </c>
      <c r="Y38" s="499">
        <v>71.099356999999998</v>
      </c>
      <c r="Z38" s="499">
        <v>74.240241999999995</v>
      </c>
      <c r="AA38" s="499">
        <v>74.196168999999998</v>
      </c>
      <c r="AB38" s="499">
        <v>77.206038000000007</v>
      </c>
      <c r="AC38" s="499">
        <v>78.615527999999998</v>
      </c>
      <c r="AD38" s="499">
        <v>79.334253000000004</v>
      </c>
      <c r="AE38" s="499">
        <v>80.274561000000006</v>
      </c>
      <c r="AF38" s="499">
        <v>79.760390000000001</v>
      </c>
      <c r="AG38" s="499">
        <v>80.001097000000001</v>
      </c>
      <c r="AH38" s="499">
        <v>81.286634000000006</v>
      </c>
      <c r="AI38" s="499">
        <v>84.322208000000003</v>
      </c>
      <c r="AJ38" s="499">
        <v>87.020565000000005</v>
      </c>
      <c r="AK38" s="503">
        <v>-4.0000000000000001E-3</v>
      </c>
      <c r="AL38" s="516" t="s">
        <v>76</v>
      </c>
      <c r="AM38" s="518">
        <v>7.4030816483576069E-3</v>
      </c>
    </row>
    <row r="39" spans="1:44" s="251" customFormat="1">
      <c r="A39" s="501" t="s">
        <v>723</v>
      </c>
      <c r="G39" s="499">
        <v>4.806</v>
      </c>
      <c r="H39" s="499">
        <v>9.3339999999999996</v>
      </c>
      <c r="I39" s="499">
        <v>7.8059539999999998</v>
      </c>
      <c r="J39" s="499">
        <v>7.8757409999999997</v>
      </c>
      <c r="K39" s="499">
        <v>8.1149930000000001</v>
      </c>
      <c r="L39" s="499">
        <v>8.1847829999999995</v>
      </c>
      <c r="M39" s="499">
        <v>8.1847829999999995</v>
      </c>
      <c r="N39" s="499">
        <v>8.1847829999999995</v>
      </c>
      <c r="O39" s="499">
        <v>8.1847829999999995</v>
      </c>
      <c r="P39" s="499">
        <v>8.1847829999999995</v>
      </c>
      <c r="Q39" s="499">
        <v>8.1847829999999995</v>
      </c>
      <c r="R39" s="499">
        <v>8.1847829999999995</v>
      </c>
      <c r="S39" s="499">
        <v>8.1847829999999995</v>
      </c>
      <c r="T39" s="499">
        <v>8.1847829999999995</v>
      </c>
      <c r="U39" s="499">
        <v>8.1847829999999995</v>
      </c>
      <c r="V39" s="499">
        <v>8.1847829999999995</v>
      </c>
      <c r="W39" s="499">
        <v>8.1847829999999995</v>
      </c>
      <c r="X39" s="499">
        <v>8.1847829999999995</v>
      </c>
      <c r="Y39" s="499">
        <v>8.1847829999999995</v>
      </c>
      <c r="Z39" s="499">
        <v>8.1847829999999995</v>
      </c>
      <c r="AA39" s="499">
        <v>8.1847829999999995</v>
      </c>
      <c r="AB39" s="499">
        <v>8.1847829999999995</v>
      </c>
      <c r="AC39" s="499">
        <v>8.1847829999999995</v>
      </c>
      <c r="AD39" s="499">
        <v>8.1847829999999995</v>
      </c>
      <c r="AE39" s="499">
        <v>8.1847829999999995</v>
      </c>
      <c r="AF39" s="499">
        <v>8.1847829999999995</v>
      </c>
      <c r="AG39" s="499">
        <v>8.1847829999999995</v>
      </c>
      <c r="AH39" s="499">
        <v>8.1847829999999995</v>
      </c>
      <c r="AI39" s="499">
        <v>8.1847829999999995</v>
      </c>
      <c r="AJ39" s="499">
        <v>8.1847829999999995</v>
      </c>
      <c r="AK39" s="503">
        <v>-5.0000000000000001E-3</v>
      </c>
      <c r="AL39" s="516" t="s">
        <v>742</v>
      </c>
      <c r="AM39" s="518">
        <v>0.47227350010504943</v>
      </c>
    </row>
    <row r="40" spans="1:44" s="251" customFormat="1">
      <c r="A40" s="501" t="s">
        <v>724</v>
      </c>
      <c r="G40" s="499">
        <v>0.23122799999999999</v>
      </c>
      <c r="H40" s="499">
        <v>0.33035000000000003</v>
      </c>
      <c r="I40" s="499">
        <v>1.3511999999999996E-2</v>
      </c>
      <c r="J40" s="499">
        <v>1.3511999999999996E-2</v>
      </c>
      <c r="K40" s="499">
        <v>1.3511999999999996E-2</v>
      </c>
      <c r="L40" s="499">
        <v>1.3511999999999996E-2</v>
      </c>
      <c r="M40" s="499">
        <v>1.4013999999999999E-2</v>
      </c>
      <c r="N40" s="499">
        <v>1.4280000000000001E-2</v>
      </c>
      <c r="O40" s="499">
        <v>1.4343999999999996E-2</v>
      </c>
      <c r="P40" s="499">
        <v>1.4366000000000004E-2</v>
      </c>
      <c r="Q40" s="499">
        <v>1.6367000000000007E-2</v>
      </c>
      <c r="R40" s="499">
        <v>1.7008000000000009E-2</v>
      </c>
      <c r="S40" s="499">
        <v>1.7030000000000003E-2</v>
      </c>
      <c r="T40" s="499">
        <v>1.721099999999999E-2</v>
      </c>
      <c r="U40" s="499">
        <v>1.7351000000000005E-2</v>
      </c>
      <c r="V40" s="499">
        <v>1.7553000000000013E-2</v>
      </c>
      <c r="W40" s="499">
        <v>1.7667999999999989E-2</v>
      </c>
      <c r="X40" s="499">
        <v>1.772E-2</v>
      </c>
      <c r="Y40" s="499">
        <v>1.7791000000000001E-2</v>
      </c>
      <c r="Z40" s="499">
        <v>1.7880999999999994E-2</v>
      </c>
      <c r="AA40" s="499">
        <v>1.8125000000000002E-2</v>
      </c>
      <c r="AB40" s="499">
        <v>1.8248E-2</v>
      </c>
      <c r="AC40" s="499">
        <v>1.8317E-2</v>
      </c>
      <c r="AD40" s="499">
        <v>1.8393999999999994E-2</v>
      </c>
      <c r="AE40" s="499">
        <v>1.8472999999999989E-2</v>
      </c>
      <c r="AF40" s="499">
        <v>1.8757999999999997E-2</v>
      </c>
      <c r="AG40" s="499">
        <v>1.8873000000000001E-2</v>
      </c>
      <c r="AH40" s="499">
        <v>1.8983E-2</v>
      </c>
      <c r="AI40" s="499">
        <v>1.9057999999999992E-2</v>
      </c>
      <c r="AJ40" s="499">
        <v>1.915E-2</v>
      </c>
      <c r="AK40" s="503">
        <v>1E-3</v>
      </c>
      <c r="AL40" s="517" t="s">
        <v>225</v>
      </c>
      <c r="AM40" s="518">
        <v>0</v>
      </c>
    </row>
    <row r="41" spans="1:44" s="251" customFormat="1">
      <c r="A41" s="501" t="s">
        <v>725</v>
      </c>
      <c r="G41" s="499">
        <v>189.425432</v>
      </c>
      <c r="H41" s="499">
        <v>183.10309899999999</v>
      </c>
      <c r="I41" s="499">
        <v>161.279922</v>
      </c>
      <c r="J41" s="499">
        <v>164.29767899999999</v>
      </c>
      <c r="K41" s="499">
        <v>168.61283700000001</v>
      </c>
      <c r="L41" s="499">
        <v>173.02721199999999</v>
      </c>
      <c r="M41" s="499">
        <v>176.08523199999999</v>
      </c>
      <c r="N41" s="499">
        <v>176.71988099999999</v>
      </c>
      <c r="O41" s="499">
        <v>177.47684099999998</v>
      </c>
      <c r="P41" s="499">
        <v>177.56408199999998</v>
      </c>
      <c r="Q41" s="499">
        <v>178.673936</v>
      </c>
      <c r="R41" s="499">
        <v>179.277254</v>
      </c>
      <c r="S41" s="499">
        <v>180.167452</v>
      </c>
      <c r="T41" s="499">
        <v>181.21535600000001</v>
      </c>
      <c r="U41" s="499">
        <v>181.79784500000002</v>
      </c>
      <c r="V41" s="499">
        <v>183.08373800000001</v>
      </c>
      <c r="W41" s="499">
        <v>184.00170700000001</v>
      </c>
      <c r="X41" s="499">
        <v>184.451977</v>
      </c>
      <c r="Y41" s="499">
        <v>185.28033300000001</v>
      </c>
      <c r="Z41" s="499">
        <v>185.749101</v>
      </c>
      <c r="AA41" s="499">
        <v>187.159041</v>
      </c>
      <c r="AB41" s="499">
        <v>189.09426199999999</v>
      </c>
      <c r="AC41" s="499">
        <v>190.77137400000001</v>
      </c>
      <c r="AD41" s="499">
        <v>192.64729300000002</v>
      </c>
      <c r="AE41" s="499">
        <v>193.64615900000001</v>
      </c>
      <c r="AF41" s="499">
        <v>197.26296000000002</v>
      </c>
      <c r="AG41" s="499">
        <v>201.09660399999999</v>
      </c>
      <c r="AH41" s="499">
        <v>202.52672700000002</v>
      </c>
      <c r="AI41" s="499">
        <v>204.05673200000001</v>
      </c>
      <c r="AJ41" s="499">
        <v>204.829328</v>
      </c>
      <c r="AK41" s="503">
        <v>2.1000000000000001E-2</v>
      </c>
      <c r="AL41" s="517" t="s">
        <v>379</v>
      </c>
      <c r="AM41" s="518">
        <v>1.6528359016762199E-2</v>
      </c>
    </row>
    <row r="42" spans="1:44" s="251" customFormat="1">
      <c r="A42" s="501" t="s">
        <v>726</v>
      </c>
      <c r="G42" s="499">
        <v>0</v>
      </c>
      <c r="H42" s="499">
        <v>0</v>
      </c>
      <c r="I42" s="499">
        <v>0</v>
      </c>
      <c r="J42" s="499">
        <v>0</v>
      </c>
      <c r="K42" s="499">
        <v>1.5115E-2</v>
      </c>
      <c r="L42" s="499">
        <v>0.11178200000000001</v>
      </c>
      <c r="M42" s="499">
        <v>0.223165</v>
      </c>
      <c r="N42" s="499">
        <v>0.32806600000000002</v>
      </c>
      <c r="O42" s="499">
        <v>0.338565</v>
      </c>
      <c r="P42" s="499">
        <v>0.34898499999999999</v>
      </c>
      <c r="Q42" s="499">
        <v>0.35950199999999999</v>
      </c>
      <c r="R42" s="499">
        <v>0.37012299999999998</v>
      </c>
      <c r="S42" s="499">
        <v>0.38046400000000002</v>
      </c>
      <c r="T42" s="499">
        <v>0.39595599999999997</v>
      </c>
      <c r="U42" s="499">
        <v>0.41773399999999999</v>
      </c>
      <c r="V42" s="499">
        <v>0.44779800000000003</v>
      </c>
      <c r="W42" s="499">
        <v>0.48069200000000001</v>
      </c>
      <c r="X42" s="499">
        <v>0.51378699999999999</v>
      </c>
      <c r="Y42" s="499">
        <v>0.54720600000000008</v>
      </c>
      <c r="Z42" s="499">
        <v>0.579071</v>
      </c>
      <c r="AA42" s="499">
        <v>0.60809800000000003</v>
      </c>
      <c r="AB42" s="499">
        <v>0.637741</v>
      </c>
      <c r="AC42" s="499">
        <v>0.67019300000000004</v>
      </c>
      <c r="AD42" s="499">
        <v>0.70581099999999997</v>
      </c>
      <c r="AE42" s="499">
        <v>0.73983899999999991</v>
      </c>
      <c r="AF42" s="499">
        <v>0.77408199999999994</v>
      </c>
      <c r="AG42" s="499">
        <v>0.852321</v>
      </c>
      <c r="AH42" s="499">
        <v>0.93569100000000005</v>
      </c>
      <c r="AI42" s="499">
        <v>1.0207109999999999</v>
      </c>
      <c r="AJ42" s="499">
        <v>1.1066560000000001</v>
      </c>
      <c r="AK42" s="499" t="s">
        <v>41</v>
      </c>
      <c r="AL42" s="517" t="s">
        <v>743</v>
      </c>
      <c r="AM42" s="518">
        <v>0</v>
      </c>
    </row>
    <row r="43" spans="1:44" s="251" customFormat="1">
      <c r="A43" s="502" t="s">
        <v>727</v>
      </c>
      <c r="G43" s="500">
        <v>348.92707900000005</v>
      </c>
      <c r="H43" s="500">
        <v>354.091095</v>
      </c>
      <c r="I43" s="500">
        <v>331.21792600000003</v>
      </c>
      <c r="J43" s="500">
        <v>337.65123699999998</v>
      </c>
      <c r="K43" s="500">
        <v>334.94289400000002</v>
      </c>
      <c r="L43" s="500">
        <v>341.31483500000002</v>
      </c>
      <c r="M43" s="500">
        <v>348.03964999999994</v>
      </c>
      <c r="N43" s="500">
        <v>353.08734099999998</v>
      </c>
      <c r="O43" s="500">
        <v>355.06312600000001</v>
      </c>
      <c r="P43" s="500">
        <v>356.90457900000001</v>
      </c>
      <c r="Q43" s="500">
        <v>360.16699200000005</v>
      </c>
      <c r="R43" s="500">
        <v>364.71881100000002</v>
      </c>
      <c r="S43" s="500">
        <v>369.35690399999999</v>
      </c>
      <c r="T43" s="500">
        <v>371.86606600000005</v>
      </c>
      <c r="U43" s="500">
        <v>375.43338800000004</v>
      </c>
      <c r="V43" s="500">
        <v>380.33083399999998</v>
      </c>
      <c r="W43" s="500">
        <v>383.41915900000004</v>
      </c>
      <c r="X43" s="500">
        <v>385.35127199999999</v>
      </c>
      <c r="Y43" s="500">
        <v>389.63385099999999</v>
      </c>
      <c r="Z43" s="500">
        <v>393.13087399999995</v>
      </c>
      <c r="AA43" s="500">
        <v>394.37347399999999</v>
      </c>
      <c r="AB43" s="500">
        <v>398.89269300000001</v>
      </c>
      <c r="AC43" s="500">
        <v>401.86298400000004</v>
      </c>
      <c r="AD43" s="500">
        <v>404.35404199999999</v>
      </c>
      <c r="AE43" s="500">
        <v>406.22083200000003</v>
      </c>
      <c r="AF43" s="500">
        <v>409.28509500000001</v>
      </c>
      <c r="AG43" s="500">
        <v>413.27477199999998</v>
      </c>
      <c r="AH43" s="500">
        <v>415.92989399999999</v>
      </c>
      <c r="AI43" s="500">
        <v>420.45294200000001</v>
      </c>
      <c r="AJ43" s="500">
        <v>423.86506700000001</v>
      </c>
      <c r="AK43" s="504">
        <v>1E-3</v>
      </c>
      <c r="AL43" s="517" t="s">
        <v>744</v>
      </c>
      <c r="AM43" s="518">
        <v>0.15478056381352756</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0.12192660846809047</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755</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751</v>
      </c>
      <c r="AN48" s="255">
        <v>2006</v>
      </c>
      <c r="AO48" s="255">
        <v>2007</v>
      </c>
      <c r="AP48" s="255">
        <v>2008</v>
      </c>
      <c r="AQ48" s="255">
        <v>2009</v>
      </c>
      <c r="AR48" s="255">
        <v>2010</v>
      </c>
    </row>
    <row r="49" spans="1:44" s="255" customFormat="1">
      <c r="A49" s="254" t="s">
        <v>68</v>
      </c>
      <c r="B49" s="505">
        <f>AN51</f>
        <v>42.892000000000003</v>
      </c>
      <c r="C49" s="505">
        <f t="shared" ref="C49:F49" si="0">AO51</f>
        <v>43.127000000000002</v>
      </c>
      <c r="D49" s="505">
        <f t="shared" si="0"/>
        <v>43.808</v>
      </c>
      <c r="E49" s="505">
        <f t="shared" si="0"/>
        <v>41.954000000000001</v>
      </c>
      <c r="F49" s="505">
        <f t="shared" si="0"/>
        <v>42.987000000000002</v>
      </c>
      <c r="G49" s="484">
        <f t="shared" ref="G49:AJ49" si="1">G36*$AM36</f>
        <v>42.254095100000001</v>
      </c>
      <c r="H49" s="484">
        <f t="shared" si="1"/>
        <v>42.371554400000001</v>
      </c>
      <c r="I49" s="484">
        <f t="shared" si="1"/>
        <v>39.249795550000002</v>
      </c>
      <c r="J49" s="484">
        <f t="shared" si="1"/>
        <v>40.759330499999997</v>
      </c>
      <c r="K49" s="484">
        <f t="shared" si="1"/>
        <v>44.147062749999996</v>
      </c>
      <c r="L49" s="484">
        <f t="shared" si="1"/>
        <v>43.891215549999991</v>
      </c>
      <c r="M49" s="484">
        <f t="shared" si="1"/>
        <v>45.205537999999997</v>
      </c>
      <c r="N49" s="484">
        <f t="shared" si="1"/>
        <v>45.49546329999999</v>
      </c>
      <c r="O49" s="484">
        <f t="shared" si="1"/>
        <v>45.407610849999998</v>
      </c>
      <c r="P49" s="484">
        <f t="shared" si="1"/>
        <v>45.439345700000004</v>
      </c>
      <c r="Q49" s="484">
        <f t="shared" si="1"/>
        <v>44.100385699999997</v>
      </c>
      <c r="R49" s="484">
        <f t="shared" si="1"/>
        <v>43.530982950000002</v>
      </c>
      <c r="S49" s="484">
        <f t="shared" si="1"/>
        <v>43.547204749999999</v>
      </c>
      <c r="T49" s="484">
        <f t="shared" si="1"/>
        <v>43.544018000000001</v>
      </c>
      <c r="U49" s="484">
        <f t="shared" si="1"/>
        <v>43.56121735</v>
      </c>
      <c r="V49" s="484">
        <f t="shared" si="1"/>
        <v>43.416577049999994</v>
      </c>
      <c r="W49" s="484">
        <f t="shared" si="1"/>
        <v>43.350563549999997</v>
      </c>
      <c r="X49" s="484">
        <f t="shared" si="1"/>
        <v>43.287149499999998</v>
      </c>
      <c r="Y49" s="484">
        <f t="shared" si="1"/>
        <v>43.244319650000001</v>
      </c>
      <c r="Z49" s="484">
        <f t="shared" si="1"/>
        <v>43.193911249999999</v>
      </c>
      <c r="AA49" s="484">
        <f t="shared" si="1"/>
        <v>43.140730849999997</v>
      </c>
      <c r="AB49" s="484">
        <f t="shared" si="1"/>
        <v>42.981469649999994</v>
      </c>
      <c r="AC49" s="484">
        <f t="shared" si="1"/>
        <v>42.929584949999999</v>
      </c>
      <c r="AD49" s="484">
        <f t="shared" si="1"/>
        <v>42.881030849999995</v>
      </c>
      <c r="AE49" s="484">
        <f t="shared" si="1"/>
        <v>42.843900749999996</v>
      </c>
      <c r="AF49" s="484">
        <f t="shared" si="1"/>
        <v>42.818483399999998</v>
      </c>
      <c r="AG49" s="484">
        <f t="shared" si="1"/>
        <v>42.761696949999994</v>
      </c>
      <c r="AH49" s="484">
        <f t="shared" si="1"/>
        <v>42.711467400000004</v>
      </c>
      <c r="AI49" s="484">
        <f t="shared" si="1"/>
        <v>42.666945649999995</v>
      </c>
      <c r="AJ49" s="484">
        <f t="shared" si="1"/>
        <v>42.616453249999992</v>
      </c>
      <c r="AK49"/>
    </row>
    <row r="50" spans="1:44" s="255" customFormat="1">
      <c r="A50" s="254" t="s">
        <v>69</v>
      </c>
      <c r="B50" s="505">
        <f t="shared" ref="B50:B51" si="2">AN52</f>
        <v>4.5999999999999999E-2</v>
      </c>
      <c r="C50" s="505">
        <f t="shared" ref="C50:C51" si="3">AO52</f>
        <v>4.7E-2</v>
      </c>
      <c r="D50" s="505">
        <f t="shared" ref="D50:D51" si="4">AP52</f>
        <v>4.3999999999999997E-2</v>
      </c>
      <c r="E50" s="505">
        <f t="shared" ref="E50:E51" si="5">AQ52</f>
        <v>0.05</v>
      </c>
      <c r="F50" s="505">
        <f t="shared" ref="F50:F51" si="6">AR52</f>
        <v>5.6000000000000001E-2</v>
      </c>
      <c r="G50" s="484">
        <f t="shared" ref="G50:AJ50" si="7">G37*$AM37</f>
        <v>4.8829130821232136E-2</v>
      </c>
      <c r="H50" s="484">
        <f t="shared" si="7"/>
        <v>4.690417191100664E-2</v>
      </c>
      <c r="I50" s="484">
        <f t="shared" si="7"/>
        <v>7.0720704807009524E-2</v>
      </c>
      <c r="J50" s="484">
        <f t="shared" si="7"/>
        <v>7.2068773369323241E-2</v>
      </c>
      <c r="K50" s="484">
        <f t="shared" si="7"/>
        <v>7.4873922334898063E-2</v>
      </c>
      <c r="L50" s="484">
        <f t="shared" si="7"/>
        <v>7.4894357142862231E-2</v>
      </c>
      <c r="M50" s="484">
        <f t="shared" si="7"/>
        <v>7.6052539181939605E-2</v>
      </c>
      <c r="N50" s="484">
        <f t="shared" si="7"/>
        <v>7.6536293962783886E-2</v>
      </c>
      <c r="O50" s="484">
        <f t="shared" si="7"/>
        <v>7.6425553022701098E-2</v>
      </c>
      <c r="P50" s="484">
        <f t="shared" si="7"/>
        <v>7.6482770485000795E-2</v>
      </c>
      <c r="Q50" s="484">
        <f t="shared" si="7"/>
        <v>7.531075565283997E-2</v>
      </c>
      <c r="R50" s="484">
        <f t="shared" si="7"/>
        <v>7.4796977423371408E-2</v>
      </c>
      <c r="S50" s="484">
        <f t="shared" si="7"/>
        <v>7.4812067743098801E-2</v>
      </c>
      <c r="T50" s="484">
        <f t="shared" si="7"/>
        <v>7.4831009238173291E-2</v>
      </c>
      <c r="U50" s="484">
        <f t="shared" si="7"/>
        <v>7.4876515983601205E-2</v>
      </c>
      <c r="V50" s="484">
        <f t="shared" si="7"/>
        <v>7.4795955682973203E-2</v>
      </c>
      <c r="W50" s="484">
        <f t="shared" si="7"/>
        <v>7.4700698039694036E-2</v>
      </c>
      <c r="X50" s="484">
        <f t="shared" si="7"/>
        <v>7.4641908669089402E-2</v>
      </c>
      <c r="Y50" s="484">
        <f t="shared" si="7"/>
        <v>7.4603082533957477E-2</v>
      </c>
      <c r="Z50" s="484">
        <f t="shared" si="7"/>
        <v>7.4557654383944794E-2</v>
      </c>
      <c r="AA50" s="484">
        <f t="shared" si="7"/>
        <v>7.4508375058585027E-2</v>
      </c>
      <c r="AB50" s="484">
        <f t="shared" si="7"/>
        <v>7.4462003763589385E-2</v>
      </c>
      <c r="AC50" s="484">
        <f t="shared" si="7"/>
        <v>7.441633982733098E-2</v>
      </c>
      <c r="AD50" s="484">
        <f t="shared" si="7"/>
        <v>7.4372797967284229E-2</v>
      </c>
      <c r="AE50" s="484">
        <f t="shared" si="7"/>
        <v>7.4340259465372052E-2</v>
      </c>
      <c r="AF50" s="484">
        <f t="shared" si="7"/>
        <v>7.4319117298670648E-2</v>
      </c>
      <c r="AG50" s="484">
        <f t="shared" si="7"/>
        <v>7.4259934950989787E-2</v>
      </c>
      <c r="AH50" s="484">
        <f t="shared" si="7"/>
        <v>7.4218043594663219E-2</v>
      </c>
      <c r="AI50" s="484">
        <f t="shared" si="7"/>
        <v>7.4184561947768068E-2</v>
      </c>
      <c r="AJ50" s="484">
        <f t="shared" si="7"/>
        <v>7.4139526774831627E-2</v>
      </c>
      <c r="AK50"/>
      <c r="AM50" s="255" t="s">
        <v>748</v>
      </c>
      <c r="AN50" s="255">
        <v>43.749000000000002</v>
      </c>
      <c r="AO50" s="255">
        <v>44.08</v>
      </c>
      <c r="AP50" s="255">
        <v>44.634999999999998</v>
      </c>
      <c r="AQ50" s="255">
        <v>42.777000000000001</v>
      </c>
      <c r="AR50" s="255">
        <v>43.780999999999999</v>
      </c>
    </row>
    <row r="51" spans="1:44" s="255" customFormat="1">
      <c r="A51" s="254" t="s">
        <v>76</v>
      </c>
      <c r="B51" s="505">
        <f t="shared" si="2"/>
        <v>0.501</v>
      </c>
      <c r="C51" s="505">
        <f t="shared" si="3"/>
        <v>0.59399999999999997</v>
      </c>
      <c r="D51" s="505">
        <f t="shared" si="4"/>
        <v>0.495</v>
      </c>
      <c r="E51" s="505">
        <f t="shared" si="5"/>
        <v>0.48799999999999999</v>
      </c>
      <c r="F51" s="505">
        <f t="shared" si="6"/>
        <v>0.45900000000000002</v>
      </c>
      <c r="G51" s="484">
        <f t="shared" ref="G51:AJ51" si="8">G38*$AM38</f>
        <v>0.24516895800782446</v>
      </c>
      <c r="H51" s="484">
        <f t="shared" si="8"/>
        <v>0.29364541749119072</v>
      </c>
      <c r="I51" s="484">
        <f t="shared" si="8"/>
        <v>0.36331705519851948</v>
      </c>
      <c r="J51" s="484">
        <f t="shared" si="8"/>
        <v>0.35602989840569355</v>
      </c>
      <c r="K51" s="484">
        <f t="shared" si="8"/>
        <v>0.23023085698997223</v>
      </c>
      <c r="L51" s="484">
        <f t="shared" si="8"/>
        <v>0.24890022220482144</v>
      </c>
      <c r="M51" s="484">
        <f t="shared" si="8"/>
        <v>0.24730835976722004</v>
      </c>
      <c r="N51" s="484">
        <f t="shared" si="8"/>
        <v>0.2730218978290328</v>
      </c>
      <c r="O51" s="484">
        <f t="shared" si="8"/>
        <v>0.28383527566644123</v>
      </c>
      <c r="P51" s="484">
        <f t="shared" si="8"/>
        <v>0.29606791309281949</v>
      </c>
      <c r="Q51" s="484">
        <f t="shared" si="8"/>
        <v>0.34034254630037425</v>
      </c>
      <c r="R51" s="484">
        <f t="shared" si="8"/>
        <v>0.38158236762008296</v>
      </c>
      <c r="S51" s="484">
        <f t="shared" si="8"/>
        <v>0.40890715679033424</v>
      </c>
      <c r="T51" s="484">
        <f t="shared" si="8"/>
        <v>0.41967453928146131</v>
      </c>
      <c r="U51" s="484">
        <f t="shared" si="8"/>
        <v>0.44124114491788513</v>
      </c>
      <c r="V51" s="484">
        <f t="shared" si="8"/>
        <v>0.47082076469659312</v>
      </c>
      <c r="W51" s="484">
        <f t="shared" si="8"/>
        <v>0.48804880173607867</v>
      </c>
      <c r="X51" s="484">
        <f t="shared" si="8"/>
        <v>0.50012058500440137</v>
      </c>
      <c r="Y51" s="484">
        <f t="shared" si="8"/>
        <v>0.52635434501672596</v>
      </c>
      <c r="Z51" s="484">
        <f t="shared" si="8"/>
        <v>0.54960657311982763</v>
      </c>
      <c r="AA51" s="484">
        <f t="shared" si="8"/>
        <v>0.54928029710233961</v>
      </c>
      <c r="AB51" s="484">
        <f t="shared" si="8"/>
        <v>0.57156260306020013</v>
      </c>
      <c r="AC51" s="484">
        <f t="shared" si="8"/>
        <v>0.58199717261274353</v>
      </c>
      <c r="AD51" s="484">
        <f t="shared" si="8"/>
        <v>0.58731795247045948</v>
      </c>
      <c r="AE51" s="484">
        <f t="shared" si="8"/>
        <v>0.59427912936906335</v>
      </c>
      <c r="AF51" s="484">
        <f t="shared" si="8"/>
        <v>0.59047267947484561</v>
      </c>
      <c r="AG51" s="484">
        <f t="shared" si="8"/>
        <v>0.59225465304917679</v>
      </c>
      <c r="AH51" s="484">
        <f t="shared" si="8"/>
        <v>0.6017715884221615</v>
      </c>
      <c r="AI51" s="484">
        <f t="shared" si="8"/>
        <v>0.62424419059379299</v>
      </c>
      <c r="AJ51" s="484">
        <f t="shared" si="8"/>
        <v>0.64422034778121029</v>
      </c>
      <c r="AK51"/>
      <c r="AM51" s="255" t="s">
        <v>68</v>
      </c>
      <c r="AN51" s="255">
        <v>42.892000000000003</v>
      </c>
      <c r="AO51" s="255">
        <v>43.127000000000002</v>
      </c>
      <c r="AP51" s="255">
        <v>43.808</v>
      </c>
      <c r="AQ51" s="255">
        <v>41.954000000000001</v>
      </c>
      <c r="AR51" s="255">
        <v>42.987000000000002</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4.5999999999999999E-2</v>
      </c>
      <c r="AO52" s="255">
        <v>4.7E-2</v>
      </c>
      <c r="AP52" s="255">
        <v>4.3999999999999997E-2</v>
      </c>
      <c r="AQ52" s="255">
        <v>0.05</v>
      </c>
      <c r="AR52" s="255">
        <v>5.6000000000000001E-2</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746</v>
      </c>
      <c r="AN53" s="255">
        <v>0.501</v>
      </c>
      <c r="AO53" s="255">
        <v>0.59399999999999997</v>
      </c>
      <c r="AP53" s="255">
        <v>0.495</v>
      </c>
      <c r="AQ53" s="255">
        <v>0.48799999999999999</v>
      </c>
      <c r="AR53" s="255">
        <v>0.45900000000000002</v>
      </c>
    </row>
    <row r="54" spans="1:44" s="255" customFormat="1">
      <c r="A54" s="254" t="s">
        <v>628</v>
      </c>
      <c r="B54" s="506">
        <f>AN56</f>
        <v>1.6020000000000001</v>
      </c>
      <c r="C54" s="506">
        <f t="shared" ref="C54:F54" si="11">AO56</f>
        <v>1.484</v>
      </c>
      <c r="D54" s="506">
        <f t="shared" si="11"/>
        <v>1.798</v>
      </c>
      <c r="E54" s="506">
        <f t="shared" si="11"/>
        <v>3.1930000000000001</v>
      </c>
      <c r="F54" s="506">
        <f t="shared" si="11"/>
        <v>4.2709999999999999</v>
      </c>
      <c r="G54" s="484">
        <f>EIA_RE_aeo2014!G79</f>
        <v>4.598446364691867</v>
      </c>
      <c r="H54" s="484">
        <f>EIA_RE_aeo2014!H79</f>
        <v>5.0336181030136036</v>
      </c>
      <c r="I54" s="484">
        <f>EIA_RE_aeo2014!I79</f>
        <v>5.567505840121151</v>
      </c>
      <c r="J54" s="484">
        <f>EIA_RE_aeo2014!J79</f>
        <v>5.5997674660831116</v>
      </c>
      <c r="K54" s="484">
        <f>EIA_RE_aeo2014!K79</f>
        <v>5.9463656708342212</v>
      </c>
      <c r="L54" s="484">
        <f>EIA_RE_aeo2014!L79</f>
        <v>6.1520311072112248</v>
      </c>
      <c r="M54" s="484">
        <f>EIA_RE_aeo2014!M79</f>
        <v>6.162976450289638</v>
      </c>
      <c r="N54" s="484">
        <f>EIA_RE_aeo2014!N79</f>
        <v>6.1590641654369467</v>
      </c>
      <c r="O54" s="484">
        <f>EIA_RE_aeo2014!O79</f>
        <v>6.1587591923829246</v>
      </c>
      <c r="P54" s="484">
        <f>EIA_RE_aeo2014!P79</f>
        <v>6.1586771550685429</v>
      </c>
      <c r="Q54" s="484">
        <f>EIA_RE_aeo2014!Q79</f>
        <v>6.1631877802023718</v>
      </c>
      <c r="R54" s="484">
        <f>EIA_RE_aeo2014!R79</f>
        <v>6.1649084963853973</v>
      </c>
      <c r="S54" s="484">
        <f>EIA_RE_aeo2014!S79</f>
        <v>6.1637511293402234</v>
      </c>
      <c r="T54" s="484">
        <f>EIA_RE_aeo2014!T79</f>
        <v>6.1636616496366585</v>
      </c>
      <c r="U54" s="484">
        <f>EIA_RE_aeo2014!U79</f>
        <v>6.1687636490033606</v>
      </c>
      <c r="V54" s="484">
        <f>EIA_RE_aeo2014!V79</f>
        <v>6.1767360256235975</v>
      </c>
      <c r="W54" s="484">
        <f>EIA_RE_aeo2014!W79</f>
        <v>6.1843299513963848</v>
      </c>
      <c r="X54" s="484">
        <f>EIA_RE_aeo2014!X79</f>
        <v>6.1878476102317634</v>
      </c>
      <c r="Y54" s="484">
        <f>EIA_RE_aeo2014!Y79</f>
        <v>6.1945696691723908</v>
      </c>
      <c r="Z54" s="484">
        <f>EIA_RE_aeo2014!Z79</f>
        <v>6.2009134118354492</v>
      </c>
      <c r="AA54" s="484">
        <f>EIA_RE_aeo2014!AA79</f>
        <v>6.2097715412196672</v>
      </c>
      <c r="AB54" s="484">
        <f>EIA_RE_aeo2014!AB79</f>
        <v>6.2173809018671422</v>
      </c>
      <c r="AC54" s="484">
        <f>EIA_RE_aeo2014!AC79</f>
        <v>6.225460894667564</v>
      </c>
      <c r="AD54" s="484">
        <f>EIA_RE_aeo2014!AD79</f>
        <v>6.2592819513380302</v>
      </c>
      <c r="AE54" s="484">
        <f>EIA_RE_aeo2014!AE79</f>
        <v>6.2844286316543547</v>
      </c>
      <c r="AF54" s="484">
        <f>EIA_RE_aeo2014!AF79</f>
        <v>6.7286267967930629</v>
      </c>
      <c r="AG54" s="484">
        <f>EIA_RE_aeo2014!AG79</f>
        <v>7.2402168944284266</v>
      </c>
      <c r="AH54" s="484">
        <f>EIA_RE_aeo2014!AH79</f>
        <v>7.380401506635244</v>
      </c>
      <c r="AI54" s="484">
        <f>EIA_RE_aeo2014!AI79</f>
        <v>7.4344161910276769</v>
      </c>
      <c r="AJ54" s="484">
        <f>EIA_RE_aeo2014!AJ79</f>
        <v>7.521891616860418</v>
      </c>
      <c r="AK54"/>
      <c r="AM54" s="255" t="s">
        <v>749</v>
      </c>
      <c r="AN54" s="255">
        <v>0.31</v>
      </c>
      <c r="AO54" s="255">
        <v>0.312</v>
      </c>
      <c r="AP54" s="255">
        <v>0.28899999999999998</v>
      </c>
      <c r="AQ54" s="255">
        <v>0.28399999999999997</v>
      </c>
      <c r="AR54" s="255">
        <v>0.27900000000000003</v>
      </c>
    </row>
    <row r="55" spans="1:44" s="255" customFormat="1">
      <c r="A55" s="254" t="s">
        <v>629</v>
      </c>
      <c r="B55" s="506">
        <f>AN58</f>
        <v>4.9000000000000002E-2</v>
      </c>
      <c r="C55" s="506">
        <f t="shared" ref="C55:F55" si="12">AO58</f>
        <v>6.9000000000000006E-2</v>
      </c>
      <c r="D55" s="506">
        <f t="shared" si="12"/>
        <v>6.7000000000000004E-2</v>
      </c>
      <c r="E55" s="506">
        <f t="shared" si="12"/>
        <v>0.06</v>
      </c>
      <c r="F55" s="506">
        <f t="shared" si="12"/>
        <v>6.8000000000000005E-2</v>
      </c>
      <c r="G55" s="484">
        <f>G39*$AM43</f>
        <v>0.74387538968781342</v>
      </c>
      <c r="H55" s="484">
        <f t="shared" ref="H55:AJ55" si="13">H39*$AM43</f>
        <v>1.4447217826354661</v>
      </c>
      <c r="I55" s="484">
        <f t="shared" si="13"/>
        <v>1.2082099612224606</v>
      </c>
      <c r="J55" s="484">
        <f t="shared" si="13"/>
        <v>1.2190116324293152</v>
      </c>
      <c r="K55" s="484">
        <f t="shared" si="13"/>
        <v>1.2560431918828294</v>
      </c>
      <c r="L55" s="484">
        <f t="shared" si="13"/>
        <v>1.2668453274313756</v>
      </c>
      <c r="M55" s="484">
        <f t="shared" si="13"/>
        <v>1.2668453274313756</v>
      </c>
      <c r="N55" s="484">
        <f t="shared" si="13"/>
        <v>1.2668453274313756</v>
      </c>
      <c r="O55" s="484">
        <f t="shared" si="13"/>
        <v>1.2668453274313756</v>
      </c>
      <c r="P55" s="484">
        <f t="shared" si="13"/>
        <v>1.2668453274313756</v>
      </c>
      <c r="Q55" s="484">
        <f t="shared" si="13"/>
        <v>1.2668453274313756</v>
      </c>
      <c r="R55" s="484">
        <f t="shared" si="13"/>
        <v>1.2668453274313756</v>
      </c>
      <c r="S55" s="484">
        <f t="shared" si="13"/>
        <v>1.2668453274313756</v>
      </c>
      <c r="T55" s="484">
        <f t="shared" si="13"/>
        <v>1.2668453274313756</v>
      </c>
      <c r="U55" s="484">
        <f t="shared" si="13"/>
        <v>1.2668453274313756</v>
      </c>
      <c r="V55" s="484">
        <f t="shared" si="13"/>
        <v>1.2668453274313756</v>
      </c>
      <c r="W55" s="484">
        <f t="shared" si="13"/>
        <v>1.2668453274313756</v>
      </c>
      <c r="X55" s="484">
        <f t="shared" si="13"/>
        <v>1.2668453274313756</v>
      </c>
      <c r="Y55" s="484">
        <f t="shared" si="13"/>
        <v>1.2668453274313756</v>
      </c>
      <c r="Z55" s="484">
        <f t="shared" si="13"/>
        <v>1.2668453274313756</v>
      </c>
      <c r="AA55" s="484">
        <f t="shared" si="13"/>
        <v>1.2668453274313756</v>
      </c>
      <c r="AB55" s="484">
        <f t="shared" si="13"/>
        <v>1.2668453274313756</v>
      </c>
      <c r="AC55" s="484">
        <f t="shared" si="13"/>
        <v>1.2668453274313756</v>
      </c>
      <c r="AD55" s="484">
        <f t="shared" si="13"/>
        <v>1.2668453274313756</v>
      </c>
      <c r="AE55" s="484">
        <f t="shared" si="13"/>
        <v>1.2668453274313756</v>
      </c>
      <c r="AF55" s="484">
        <f t="shared" si="13"/>
        <v>1.2668453274313756</v>
      </c>
      <c r="AG55" s="484">
        <f t="shared" si="13"/>
        <v>1.2668453274313756</v>
      </c>
      <c r="AH55" s="484">
        <f t="shared" si="13"/>
        <v>1.2668453274313756</v>
      </c>
      <c r="AI55" s="484">
        <f t="shared" si="13"/>
        <v>1.2668453274313756</v>
      </c>
      <c r="AJ55" s="484">
        <f t="shared" si="13"/>
        <v>1.2668453274313756</v>
      </c>
      <c r="AK55"/>
      <c r="AM55" s="255" t="s">
        <v>225</v>
      </c>
      <c r="AN55" s="255">
        <v>0</v>
      </c>
      <c r="AO55" s="255">
        <v>0</v>
      </c>
      <c r="AP55" s="255">
        <v>0</v>
      </c>
      <c r="AQ55" s="255">
        <v>0</v>
      </c>
      <c r="AR55" s="255">
        <v>0</v>
      </c>
    </row>
    <row r="56" spans="1:44" s="255" customFormat="1">
      <c r="A56" s="254" t="s">
        <v>82</v>
      </c>
      <c r="B56" s="506">
        <f>AN59</f>
        <v>45.4</v>
      </c>
      <c r="C56" s="506">
        <f t="shared" ref="C56" si="14">AO59</f>
        <v>45.633000000000003</v>
      </c>
      <c r="D56" s="506">
        <f t="shared" ref="D56" si="15">AP59</f>
        <v>46.5</v>
      </c>
      <c r="E56" s="506">
        <f t="shared" ref="E56" si="16">AQ59</f>
        <v>46.029000000000003</v>
      </c>
      <c r="F56" s="506">
        <f t="shared" ref="F56" si="17">AR59</f>
        <v>48.119</v>
      </c>
      <c r="G56" s="534">
        <f>G58</f>
        <v>47.890414943208739</v>
      </c>
      <c r="H56" s="534">
        <f t="shared" ref="H56:AJ56" si="18">H58</f>
        <v>49.190443875051272</v>
      </c>
      <c r="I56" s="534">
        <f t="shared" si="18"/>
        <v>46.459549111349141</v>
      </c>
      <c r="J56" s="534">
        <f t="shared" si="18"/>
        <v>48.006208270287445</v>
      </c>
      <c r="K56" s="534">
        <f t="shared" si="18"/>
        <v>51.654576392041911</v>
      </c>
      <c r="L56" s="534">
        <f t="shared" si="18"/>
        <v>51.633886563990274</v>
      </c>
      <c r="M56" s="534">
        <f t="shared" si="18"/>
        <v>52.958720676670168</v>
      </c>
      <c r="N56" s="534">
        <f t="shared" si="18"/>
        <v>53.270930984660126</v>
      </c>
      <c r="O56" s="534">
        <f t="shared" si="18"/>
        <v>53.19347619850344</v>
      </c>
      <c r="P56" s="534">
        <f t="shared" si="18"/>
        <v>53.237418866077746</v>
      </c>
      <c r="Q56" s="534">
        <f t="shared" si="18"/>
        <v>51.946072109586964</v>
      </c>
      <c r="R56" s="534">
        <f t="shared" si="18"/>
        <v>51.419116118860224</v>
      </c>
      <c r="S56" s="534">
        <f t="shared" si="18"/>
        <v>51.461520431305026</v>
      </c>
      <c r="T56" s="534">
        <f t="shared" si="18"/>
        <v>51.469030525587669</v>
      </c>
      <c r="U56" s="534">
        <f t="shared" si="18"/>
        <v>51.512943987336222</v>
      </c>
      <c r="V56" s="534">
        <f t="shared" si="18"/>
        <v>51.40577512343453</v>
      </c>
      <c r="W56" s="534">
        <f t="shared" si="18"/>
        <v>51.364488328603528</v>
      </c>
      <c r="X56" s="534">
        <f t="shared" si="18"/>
        <v>51.316604931336627</v>
      </c>
      <c r="Y56" s="534">
        <f t="shared" si="18"/>
        <v>51.306692074154448</v>
      </c>
      <c r="Z56" s="534">
        <f t="shared" si="18"/>
        <v>51.285834216770596</v>
      </c>
      <c r="AA56" s="534">
        <f t="shared" si="18"/>
        <v>51.241136390811967</v>
      </c>
      <c r="AB56" s="534">
        <f t="shared" si="18"/>
        <v>51.111720486122309</v>
      </c>
      <c r="AC56" s="534">
        <f t="shared" si="18"/>
        <v>51.078304684539013</v>
      </c>
      <c r="AD56" s="534">
        <f t="shared" si="18"/>
        <v>51.068848879207145</v>
      </c>
      <c r="AE56" s="534">
        <f t="shared" si="18"/>
        <v>51.063794097920166</v>
      </c>
      <c r="AF56" s="534">
        <f t="shared" si="18"/>
        <v>51.478747320997954</v>
      </c>
      <c r="AG56" s="534">
        <f t="shared" si="18"/>
        <v>51.93527375985996</v>
      </c>
      <c r="AH56" s="534">
        <f t="shared" si="18"/>
        <v>52.034703866083447</v>
      </c>
      <c r="AI56" s="534">
        <f t="shared" si="18"/>
        <v>52.066635921000611</v>
      </c>
      <c r="AJ56" s="534">
        <f t="shared" si="18"/>
        <v>52.12355006884782</v>
      </c>
      <c r="AK56"/>
      <c r="AM56" s="255" t="s">
        <v>379</v>
      </c>
      <c r="AN56" s="255">
        <v>1.6020000000000001</v>
      </c>
      <c r="AO56" s="255">
        <v>1.484</v>
      </c>
      <c r="AP56" s="255">
        <v>1.798</v>
      </c>
      <c r="AQ56" s="255">
        <v>3.1930000000000001</v>
      </c>
      <c r="AR56" s="255">
        <v>4.2709999999999999</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v>
      </c>
      <c r="AO57" s="255">
        <v>0</v>
      </c>
      <c r="AP57" s="255">
        <v>0</v>
      </c>
      <c r="AQ57" s="255">
        <v>0</v>
      </c>
      <c r="AR57" s="255">
        <v>0</v>
      </c>
    </row>
    <row r="58" spans="1:44" s="255" customFormat="1">
      <c r="A58" s="254" t="s">
        <v>83</v>
      </c>
      <c r="B58" s="483">
        <f>SUM(B49:B52,B54,B55)</f>
        <v>45.089999999999996</v>
      </c>
      <c r="C58" s="483">
        <f t="shared" ref="C58:AJ58" si="19">SUM(C49:C52,C54,C55)</f>
        <v>45.321000000000005</v>
      </c>
      <c r="D58" s="483">
        <f t="shared" si="19"/>
        <v>46.211999999999996</v>
      </c>
      <c r="E58" s="483">
        <f t="shared" si="19"/>
        <v>45.744999999999997</v>
      </c>
      <c r="F58" s="483">
        <f t="shared" si="19"/>
        <v>47.841000000000001</v>
      </c>
      <c r="G58" s="483">
        <f t="shared" si="19"/>
        <v>47.890414943208739</v>
      </c>
      <c r="H58" s="483">
        <f t="shared" si="19"/>
        <v>49.190443875051272</v>
      </c>
      <c r="I58" s="483">
        <f t="shared" si="19"/>
        <v>46.459549111349141</v>
      </c>
      <c r="J58" s="483">
        <f t="shared" si="19"/>
        <v>48.006208270287445</v>
      </c>
      <c r="K58" s="483">
        <f t="shared" si="19"/>
        <v>51.654576392041911</v>
      </c>
      <c r="L58" s="483">
        <f t="shared" si="19"/>
        <v>51.633886563990274</v>
      </c>
      <c r="M58" s="483">
        <f t="shared" si="19"/>
        <v>52.958720676670168</v>
      </c>
      <c r="N58" s="483">
        <f t="shared" si="19"/>
        <v>53.270930984660126</v>
      </c>
      <c r="O58" s="483">
        <f t="shared" si="19"/>
        <v>53.19347619850344</v>
      </c>
      <c r="P58" s="483">
        <f t="shared" si="19"/>
        <v>53.237418866077746</v>
      </c>
      <c r="Q58" s="483">
        <f t="shared" si="19"/>
        <v>51.946072109586964</v>
      </c>
      <c r="R58" s="483">
        <f t="shared" si="19"/>
        <v>51.419116118860224</v>
      </c>
      <c r="S58" s="483">
        <f t="shared" si="19"/>
        <v>51.461520431305026</v>
      </c>
      <c r="T58" s="483">
        <f t="shared" si="19"/>
        <v>51.469030525587669</v>
      </c>
      <c r="U58" s="483">
        <f t="shared" si="19"/>
        <v>51.512943987336222</v>
      </c>
      <c r="V58" s="483">
        <f t="shared" si="19"/>
        <v>51.40577512343453</v>
      </c>
      <c r="W58" s="483">
        <f t="shared" si="19"/>
        <v>51.364488328603528</v>
      </c>
      <c r="X58" s="483">
        <f t="shared" si="19"/>
        <v>51.316604931336627</v>
      </c>
      <c r="Y58" s="483">
        <f t="shared" si="19"/>
        <v>51.306692074154448</v>
      </c>
      <c r="Z58" s="483">
        <f t="shared" si="19"/>
        <v>51.285834216770596</v>
      </c>
      <c r="AA58" s="483">
        <f t="shared" si="19"/>
        <v>51.241136390811967</v>
      </c>
      <c r="AB58" s="483">
        <f t="shared" si="19"/>
        <v>51.111720486122309</v>
      </c>
      <c r="AC58" s="483">
        <f t="shared" si="19"/>
        <v>51.078304684539013</v>
      </c>
      <c r="AD58" s="483">
        <f t="shared" si="19"/>
        <v>51.068848879207145</v>
      </c>
      <c r="AE58" s="483">
        <f t="shared" si="19"/>
        <v>51.063794097920166</v>
      </c>
      <c r="AF58" s="483">
        <f t="shared" si="19"/>
        <v>51.478747320997954</v>
      </c>
      <c r="AG58" s="483">
        <f t="shared" si="19"/>
        <v>51.93527375985996</v>
      </c>
      <c r="AH58" s="483">
        <f t="shared" si="19"/>
        <v>52.034703866083447</v>
      </c>
      <c r="AI58" s="483">
        <f t="shared" si="19"/>
        <v>52.066635921000611</v>
      </c>
      <c r="AJ58" s="483">
        <f t="shared" si="19"/>
        <v>52.12355006884782</v>
      </c>
      <c r="AK58" s="490">
        <v>8.9999999999999993E-3</v>
      </c>
      <c r="AM58" s="255" t="s">
        <v>744</v>
      </c>
      <c r="AN58" s="255">
        <v>4.9000000000000002E-2</v>
      </c>
      <c r="AO58" s="255">
        <v>6.9000000000000006E-2</v>
      </c>
      <c r="AP58" s="255">
        <v>6.7000000000000004E-2</v>
      </c>
      <c r="AQ58" s="255">
        <v>0.06</v>
      </c>
      <c r="AR58" s="255">
        <v>6.8000000000000005E-2</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45.4</v>
      </c>
      <c r="AO59" s="5">
        <v>45.633000000000003</v>
      </c>
      <c r="AP59" s="5">
        <v>46.5</v>
      </c>
      <c r="AQ59" s="5">
        <v>46.029000000000003</v>
      </c>
      <c r="AR59" s="5">
        <v>48.119</v>
      </c>
    </row>
    <row r="60" spans="1:44" s="274" customFormat="1">
      <c r="A60" s="273" t="s">
        <v>331</v>
      </c>
      <c r="B60" s="367"/>
      <c r="C60" s="367"/>
      <c r="D60" s="367"/>
      <c r="E60" s="367">
        <f>E49/SUM(E49,E51)</f>
        <v>0.98850195561000898</v>
      </c>
      <c r="F60" s="367">
        <f t="shared" ref="F60:AJ60" si="20">F49/SUM(F49,F51)</f>
        <v>0.98943516088937988</v>
      </c>
      <c r="G60" s="324">
        <f t="shared" si="20"/>
        <v>0.99423121874126597</v>
      </c>
      <c r="H60" s="324">
        <f t="shared" si="20"/>
        <v>0.99311744891041609</v>
      </c>
      <c r="I60" s="324">
        <f t="shared" si="20"/>
        <v>0.9908283638597275</v>
      </c>
      <c r="J60" s="324">
        <f t="shared" si="20"/>
        <v>0.99134070831543775</v>
      </c>
      <c r="K60" s="324">
        <f t="shared" si="20"/>
        <v>0.99481196715083808</v>
      </c>
      <c r="L60" s="324">
        <f t="shared" si="20"/>
        <v>0.99436113345308541</v>
      </c>
      <c r="M60" s="324">
        <f t="shared" si="20"/>
        <v>0.9945590127005528</v>
      </c>
      <c r="N60" s="324">
        <f t="shared" si="20"/>
        <v>0.99403471850447034</v>
      </c>
      <c r="O60" s="324">
        <f t="shared" si="20"/>
        <v>0.99378799973006327</v>
      </c>
      <c r="P60" s="324">
        <f t="shared" si="20"/>
        <v>0.99352650627372785</v>
      </c>
      <c r="Q60" s="324">
        <f t="shared" si="20"/>
        <v>0.99234165235965255</v>
      </c>
      <c r="R60" s="324">
        <f t="shared" si="20"/>
        <v>0.99131040592003461</v>
      </c>
      <c r="S60" s="324">
        <f t="shared" si="20"/>
        <v>0.99069737656375456</v>
      </c>
      <c r="T60" s="324">
        <f t="shared" si="20"/>
        <v>0.99045406527428326</v>
      </c>
      <c r="U60" s="324">
        <f t="shared" si="20"/>
        <v>0.98997235245460558</v>
      </c>
      <c r="V60" s="324">
        <f t="shared" si="20"/>
        <v>0.98927207380386251</v>
      </c>
      <c r="W60" s="324">
        <f t="shared" si="20"/>
        <v>0.98886714757711192</v>
      </c>
      <c r="X60" s="324">
        <f t="shared" si="20"/>
        <v>0.98857840226089644</v>
      </c>
      <c r="Y60" s="324">
        <f t="shared" si="20"/>
        <v>0.98797472606712311</v>
      </c>
      <c r="Z60" s="324">
        <f t="shared" si="20"/>
        <v>0.98743570246585566</v>
      </c>
      <c r="AA60" s="324">
        <f t="shared" si="20"/>
        <v>0.98742778308632284</v>
      </c>
      <c r="AB60" s="324">
        <f t="shared" si="20"/>
        <v>0.98687662893965233</v>
      </c>
      <c r="AC60" s="324">
        <f t="shared" si="20"/>
        <v>0.986624316004582</v>
      </c>
      <c r="AD60" s="324">
        <f t="shared" si="20"/>
        <v>0.98648860679895256</v>
      </c>
      <c r="AE60" s="324">
        <f t="shared" si="20"/>
        <v>0.98631896799038499</v>
      </c>
      <c r="AF60" s="324">
        <f t="shared" si="20"/>
        <v>0.98639744576225741</v>
      </c>
      <c r="AG60" s="324">
        <f t="shared" si="20"/>
        <v>0.98633908487807787</v>
      </c>
      <c r="AH60" s="324">
        <f t="shared" si="20"/>
        <v>0.98610652072030414</v>
      </c>
      <c r="AI60" s="324">
        <f t="shared" si="20"/>
        <v>0.98558034110653059</v>
      </c>
      <c r="AJ60" s="324">
        <f t="shared" si="20"/>
        <v>0.9851084069154612</v>
      </c>
      <c r="AK60" s="324"/>
      <c r="AL60" s="274" t="s">
        <v>0</v>
      </c>
    </row>
    <row r="61" spans="1:44" s="265" customFormat="1">
      <c r="A61" s="262" t="s">
        <v>107</v>
      </c>
      <c r="B61" s="358">
        <f>B54/B58</f>
        <v>3.5528942115768465E-2</v>
      </c>
      <c r="C61" s="358">
        <f t="shared" ref="C61:AJ61" si="21">C54/C58</f>
        <v>3.2744202466847595E-2</v>
      </c>
      <c r="D61" s="358">
        <f t="shared" si="21"/>
        <v>3.8907643036440759E-2</v>
      </c>
      <c r="E61" s="358">
        <f t="shared" si="21"/>
        <v>6.9799978139687399E-2</v>
      </c>
      <c r="F61" s="358">
        <f t="shared" si="21"/>
        <v>8.927488973892686E-2</v>
      </c>
      <c r="G61" s="309">
        <f t="shared" si="21"/>
        <v>9.6020182120889419E-2</v>
      </c>
      <c r="H61" s="309">
        <f t="shared" si="21"/>
        <v>0.10232918645335881</v>
      </c>
      <c r="I61" s="309">
        <f t="shared" si="21"/>
        <v>0.11983555472692094</v>
      </c>
      <c r="J61" s="309">
        <f t="shared" si="21"/>
        <v>0.11664673524213709</v>
      </c>
      <c r="K61" s="309">
        <f t="shared" si="21"/>
        <v>0.11511788666512691</v>
      </c>
      <c r="L61" s="309">
        <f t="shared" si="21"/>
        <v>0.11914716316361282</v>
      </c>
      <c r="M61" s="309">
        <f t="shared" si="21"/>
        <v>0.11637321241040866</v>
      </c>
      <c r="N61" s="309">
        <f t="shared" si="21"/>
        <v>0.115617730938671</v>
      </c>
      <c r="O61" s="309">
        <f t="shared" si="21"/>
        <v>0.11578034812765624</v>
      </c>
      <c r="P61" s="309">
        <f t="shared" si="21"/>
        <v>0.11568324096555288</v>
      </c>
      <c r="Q61" s="309">
        <f t="shared" si="21"/>
        <v>0.11864588658792775</v>
      </c>
      <c r="R61" s="309">
        <f t="shared" si="21"/>
        <v>0.11989526389630306</v>
      </c>
      <c r="S61" s="309">
        <f t="shared" si="21"/>
        <v>0.11977398020270492</v>
      </c>
      <c r="T61" s="309">
        <f t="shared" si="21"/>
        <v>0.1197547648886142</v>
      </c>
      <c r="U61" s="309">
        <f t="shared" si="21"/>
        <v>0.11975172008262369</v>
      </c>
      <c r="V61" s="309">
        <f t="shared" si="21"/>
        <v>0.12015646123012719</v>
      </c>
      <c r="W61" s="309">
        <f t="shared" si="21"/>
        <v>0.12040088692857658</v>
      </c>
      <c r="X61" s="309">
        <f t="shared" si="21"/>
        <v>0.12058178085848266</v>
      </c>
      <c r="Y61" s="309">
        <f t="shared" si="21"/>
        <v>0.12073609540485035</v>
      </c>
      <c r="Z61" s="309">
        <f t="shared" si="21"/>
        <v>0.1209088924170748</v>
      </c>
      <c r="AA61" s="309">
        <f t="shared" si="21"/>
        <v>0.12118723312180757</v>
      </c>
      <c r="AB61" s="309">
        <f t="shared" si="21"/>
        <v>0.12164295865476228</v>
      </c>
      <c r="AC61" s="309">
        <f t="shared" si="21"/>
        <v>0.12188072672176922</v>
      </c>
      <c r="AD61" s="309">
        <f t="shared" si="21"/>
        <v>0.12256555784413849</v>
      </c>
      <c r="AE61" s="309">
        <f t="shared" si="21"/>
        <v>0.12307014671889256</v>
      </c>
      <c r="AF61" s="309">
        <f t="shared" si="21"/>
        <v>0.13070688676312225</v>
      </c>
      <c r="AG61" s="309">
        <f t="shared" si="21"/>
        <v>0.13940846692954736</v>
      </c>
      <c r="AH61" s="309">
        <f t="shared" si="21"/>
        <v>0.1418361393125144</v>
      </c>
      <c r="AI61" s="309">
        <f t="shared" si="21"/>
        <v>0.14278656685843366</v>
      </c>
      <c r="AJ61" s="309">
        <f t="shared" si="21"/>
        <v>0.14430888930099861</v>
      </c>
      <c r="AK61" s="309"/>
    </row>
    <row r="62" spans="1:44" s="275" customFormat="1">
      <c r="A62" s="264" t="s">
        <v>108</v>
      </c>
      <c r="B62" s="368">
        <f>(B54-EIA_RE_aeo2014!B73)/B56</f>
        <v>1.6718061674008813E-2</v>
      </c>
      <c r="C62" s="368">
        <f>(C54-EIA_RE_aeo2014!C73)/C56</f>
        <v>1.6545044156641025E-2</v>
      </c>
      <c r="D62" s="368">
        <f>(D54-EIA_RE_aeo2014!D73)/D56</f>
        <v>2.0709677419354842E-2</v>
      </c>
      <c r="E62" s="368">
        <f>(E54-EIA_RE_aeo2014!E73)/E56</f>
        <v>4.8360816007299745E-2</v>
      </c>
      <c r="F62" s="368">
        <f>(F54-EIA_RE_aeo2014!F73)/F56</f>
        <v>6.7478542779359496E-2</v>
      </c>
      <c r="G62" s="325">
        <f>(G54-EIA_RE_aeo2014!G73)/G56</f>
        <v>7.3725415177399667E-2</v>
      </c>
      <c r="H62" s="325">
        <f>(H54-EIA_RE_aeo2014!H73)/H56</f>
        <v>8.192642323349246E-2</v>
      </c>
      <c r="I62" s="325">
        <f>(I54-EIA_RE_aeo2014!I73)/I56</f>
        <v>0.10206987264417709</v>
      </c>
      <c r="J62" s="325">
        <f>(J54-EIA_RE_aeo2014!J73)/J56</f>
        <v>9.9087728153236326E-2</v>
      </c>
      <c r="K62" s="325">
        <f>(K54-EIA_RE_aeo2014!K73)/K56</f>
        <v>9.8530229364680755E-2</v>
      </c>
      <c r="L62" s="325">
        <f>(L54-EIA_RE_aeo2014!L73)/L56</f>
        <v>0.10225981228588056</v>
      </c>
      <c r="M62" s="325">
        <f>(M54-EIA_RE_aeo2014!M73)/M56</f>
        <v>9.9707434258442459E-2</v>
      </c>
      <c r="N62" s="325">
        <f>(N54-EIA_RE_aeo2014!N73)/N56</f>
        <v>9.9120662273604151E-2</v>
      </c>
      <c r="O62" s="325">
        <f>(O54-EIA_RE_aeo2014!O73)/O56</f>
        <v>9.9259252709425247E-2</v>
      </c>
      <c r="P62" s="325">
        <f>(P54-EIA_RE_aeo2014!P73)/P56</f>
        <v>9.9175787655002817E-2</v>
      </c>
      <c r="Q62" s="325">
        <f>(Q54-EIA_RE_aeo2014!Q73)/Q56</f>
        <v>0.10164057706474618</v>
      </c>
      <c r="R62" s="325">
        <f>(R54-EIA_RE_aeo2014!R73)/R56</f>
        <v>0.10271568533065507</v>
      </c>
      <c r="S62" s="325">
        <f>(S54-EIA_RE_aeo2014!S73)/S56</f>
        <v>0.10260855953478862</v>
      </c>
      <c r="T62" s="325">
        <f>(T54-EIA_RE_aeo2014!T73)/T56</f>
        <v>0.10259184890995084</v>
      </c>
      <c r="U62" s="325">
        <f>(U54-EIA_RE_aeo2014!U73)/U56</f>
        <v>0.10260343504903907</v>
      </c>
      <c r="V62" s="325">
        <f>(V54-EIA_RE_aeo2014!V73)/V56</f>
        <v>0.10297242813297312</v>
      </c>
      <c r="W62" s="325">
        <f>(W54-EIA_RE_aeo2014!W73)/W56</f>
        <v>0.10320304129922493</v>
      </c>
      <c r="X62" s="325">
        <f>(X54-EIA_RE_aeo2014!X73)/X56</f>
        <v>0.10336788796186719</v>
      </c>
      <c r="Y62" s="325">
        <f>(Y54-EIA_RE_aeo2014!Y73)/Y56</f>
        <v>0.10341488012586088</v>
      </c>
      <c r="Z62" s="325">
        <f>(Z54-EIA_RE_aeo2014!Z73)/Z56</f>
        <v>0.10358063263069801</v>
      </c>
      <c r="AA62" s="325">
        <f>(AA54-EIA_RE_aeo2014!AK73)/AA56</f>
        <v>0.12118723312180757</v>
      </c>
      <c r="AB62" s="325">
        <f>(AB54-EIA_RE_aeo2014!AL73)/AB56</f>
        <v>0.12164295865476228</v>
      </c>
      <c r="AC62" s="325">
        <f>(AC54-EIA_RE_aeo2014!AM73)/AC56</f>
        <v>0.12188072672176922</v>
      </c>
      <c r="AD62" s="325">
        <f>(AD54-EIA_RE_aeo2014!AN73)/AD56</f>
        <v>0.10605843033879872</v>
      </c>
      <c r="AE62" s="325">
        <f>(AE54-EIA_RE_aeo2014!AO73)/AE56</f>
        <v>0.10879388674098989</v>
      </c>
      <c r="AF62" s="325">
        <f>(AF54-EIA_RE_aeo2014!AP73)/AF56</f>
        <v>0.11448660084992159</v>
      </c>
      <c r="AG62" s="325">
        <f>(AG54-EIA_RE_aeo2014!AQ73)/AG56</f>
        <v>0.12078913694447313</v>
      </c>
      <c r="AH62" s="325">
        <f>(AH54-EIA_RE_aeo2014!AR73)/AH56</f>
        <v>0.12215696514760771</v>
      </c>
      <c r="AI62" s="325">
        <f>(AI54-EIA_RE_aeo2014!AS73)/AI56</f>
        <v>0.14278656685843366</v>
      </c>
      <c r="AJ62" s="325">
        <f>(AJ54-EIA_RE_aeo2014!AT73)/AJ56</f>
        <v>0.14430888930099861</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2.1424964791320997</v>
      </c>
      <c r="H64" s="481">
        <f t="shared" ref="H64:O64" si="22">H63/1000/H58</f>
        <v>3.3209899297707799</v>
      </c>
      <c r="I64" s="481">
        <f t="shared" si="22"/>
        <v>4.8639017789520231</v>
      </c>
      <c r="J64" s="481">
        <f t="shared" si="22"/>
        <v>6.0323817249952958</v>
      </c>
      <c r="K64" s="481">
        <f t="shared" si="22"/>
        <v>6.9416748229348082</v>
      </c>
      <c r="L64" s="481">
        <f t="shared" si="22"/>
        <v>8.2892397807701208</v>
      </c>
      <c r="M64" s="481">
        <f t="shared" si="22"/>
        <v>9.4320479503585908</v>
      </c>
      <c r="N64" s="481">
        <f t="shared" si="22"/>
        <v>10.726555444254279</v>
      </c>
      <c r="O64" s="481">
        <f t="shared" si="22"/>
        <v>12.080094507568178</v>
      </c>
      <c r="P64" s="481">
        <f t="shared" ref="P64" si="23">P63/1000/P58</f>
        <v>13.389159123643964</v>
      </c>
      <c r="Q64" s="481">
        <f t="shared" ref="Q64" si="24">Q63/1000/Q58</f>
        <v>15.129759090619515</v>
      </c>
      <c r="R64" s="481">
        <f t="shared" ref="R64" si="25">R63/1000/R58</f>
        <v>16.753606360729009</v>
      </c>
      <c r="S64" s="481">
        <f t="shared" ref="S64" si="26">S63/1000/S58</f>
        <v>18.264731315210472</v>
      </c>
      <c r="T64" s="481">
        <f t="shared" ref="T64" si="27">T63/1000/T58</f>
        <v>19.791219998666755</v>
      </c>
      <c r="U64" s="481">
        <f t="shared" ref="U64" si="28">U63/1000/U58</f>
        <v>21.288108859000332</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0.5500561901114881</v>
      </c>
      <c r="I65" s="481">
        <f t="shared" si="29"/>
        <v>0.46459395596172059</v>
      </c>
      <c r="J65" s="481">
        <f t="shared" si="29"/>
        <v>0.24023510324565672</v>
      </c>
      <c r="K65" s="481">
        <f t="shared" si="29"/>
        <v>0.15073533794650926</v>
      </c>
      <c r="L65" s="481">
        <f t="shared" si="29"/>
        <v>0.19412677663653333</v>
      </c>
      <c r="M65" s="481">
        <f t="shared" si="29"/>
        <v>0.13786646300661073</v>
      </c>
      <c r="N65" s="481">
        <f t="shared" si="29"/>
        <v>0.13724564386321564</v>
      </c>
      <c r="O65" s="481">
        <f t="shared" si="29"/>
        <v>0.1261858077691593</v>
      </c>
      <c r="P65" s="481">
        <f t="shared" si="29"/>
        <v>0.10836542837108239</v>
      </c>
      <c r="Q65" s="481">
        <f t="shared" si="29"/>
        <v>0.13000069316539975</v>
      </c>
      <c r="R65" s="481">
        <f t="shared" si="29"/>
        <v>0.10732803215064293</v>
      </c>
      <c r="S65" s="481">
        <f t="shared" si="29"/>
        <v>9.0196995318189449E-2</v>
      </c>
      <c r="T65" s="481">
        <f t="shared" si="29"/>
        <v>8.3575753571860964E-2</v>
      </c>
      <c r="U65" s="481">
        <f t="shared" si="29"/>
        <v>7.5633986203701223E-2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4" t="s">
        <v>632</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8">
      <c r="A110" s="565" t="s">
        <v>633</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8">
      <c r="A111" s="565" t="s">
        <v>634</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8">
      <c r="A112" s="565" t="s">
        <v>635</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636</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637</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638</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639</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640</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641</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642</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643</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644</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645</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row r="123" spans="1:32">
      <c r="A123" s="565" t="s">
        <v>646</v>
      </c>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row>
    <row r="124" spans="1:32">
      <c r="A124" s="565" t="s">
        <v>647</v>
      </c>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row>
    <row r="125" spans="1:32">
      <c r="A125" s="565" t="s">
        <v>640</v>
      </c>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row>
    <row r="126" spans="1:32">
      <c r="A126" s="565" t="s">
        <v>648</v>
      </c>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row>
    <row r="127" spans="1:32">
      <c r="A127" s="565" t="s">
        <v>649</v>
      </c>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row>
    <row r="128" spans="1:32">
      <c r="A128" s="565" t="s">
        <v>650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row>
    <row r="129" spans="1:32">
      <c r="A129" s="565" t="s">
        <v>620</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row>
    <row r="130" spans="1:32">
      <c r="A130" s="565" t="s">
        <v>621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row>
    <row r="131" spans="1:32">
      <c r="A131" s="565" t="s">
        <v>622</v>
      </c>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row>
    <row r="132" spans="1:32">
      <c r="A132" s="565" t="s">
        <v>651</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row>
    <row r="133" spans="1:32">
      <c r="A133" s="565" t="s">
        <v>652</v>
      </c>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row>
    <row r="134" spans="1:32">
      <c r="A134" s="565" t="s">
        <v>653</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row>
    <row r="135" spans="1:32">
      <c r="A135" s="565" t="s">
        <v>654</v>
      </c>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row>
    <row r="136" spans="1:32">
      <c r="A136" s="565" t="s">
        <v>655</v>
      </c>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row>
    <row r="137" spans="1:32">
      <c r="A137" s="565" t="s">
        <v>656</v>
      </c>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row>
  </sheetData>
  <mergeCells count="29">
    <mergeCell ref="A133:AF133"/>
    <mergeCell ref="A134:AF134"/>
    <mergeCell ref="A135:AF135"/>
    <mergeCell ref="A136:AF136"/>
    <mergeCell ref="A137:AF137"/>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14:AF114"/>
    <mergeCell ref="A115:AF115"/>
    <mergeCell ref="A116:AF116"/>
    <mergeCell ref="A117:AF117"/>
    <mergeCell ref="A118:AF118"/>
    <mergeCell ref="A109:AF109"/>
    <mergeCell ref="A110:AF110"/>
    <mergeCell ref="A111:AF111"/>
    <mergeCell ref="A112:AF112"/>
    <mergeCell ref="A113:AF113"/>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B56" zoomScale="125" zoomScaleNormal="125" zoomScalePageLayoutView="125" workbookViewId="0">
      <selection activeCell="G60" sqref="G60:AJ66"/>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662</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1.0000000000000001E-5</v>
      </c>
      <c r="H54" s="499">
        <v>1.0000000000000001E-5</v>
      </c>
      <c r="I54" s="499">
        <v>1.0000000000000001E-5</v>
      </c>
      <c r="J54" s="499">
        <v>1.0000000000000001E-5</v>
      </c>
      <c r="K54" s="499">
        <v>1.0000000000000001E-5</v>
      </c>
      <c r="L54" s="499">
        <v>1.0000000000000001E-5</v>
      </c>
      <c r="M54" s="499">
        <v>1.0000000000000001E-5</v>
      </c>
      <c r="N54" s="499">
        <v>1.0000000000000001E-5</v>
      </c>
      <c r="O54" s="499">
        <v>1.0000000000000001E-5</v>
      </c>
      <c r="P54" s="499">
        <v>1.0000000000000001E-5</v>
      </c>
      <c r="Q54" s="499">
        <v>1.0000000000000001E-5</v>
      </c>
      <c r="R54" s="499">
        <v>1.0000000000000001E-5</v>
      </c>
      <c r="S54" s="499">
        <v>1.0000000000000001E-5</v>
      </c>
      <c r="T54" s="499">
        <v>1.0000000000000001E-5</v>
      </c>
      <c r="U54" s="499">
        <v>1.0000000000000001E-5</v>
      </c>
      <c r="V54" s="499">
        <v>1.0000000000000001E-5</v>
      </c>
      <c r="W54" s="499">
        <v>1.0000000000000001E-5</v>
      </c>
      <c r="X54" s="499">
        <v>1.0000000000000001E-5</v>
      </c>
      <c r="Y54" s="499">
        <v>1.0000000000000001E-5</v>
      </c>
      <c r="Z54" s="499">
        <v>1.0000000000000001E-5</v>
      </c>
      <c r="AA54" s="499">
        <v>1.0000000000000001E-5</v>
      </c>
      <c r="AB54" s="499">
        <v>1.0000000000000001E-5</v>
      </c>
      <c r="AC54" s="499">
        <v>1.0000000000000001E-5</v>
      </c>
      <c r="AD54" s="499">
        <v>1.0000000000000001E-5</v>
      </c>
      <c r="AE54" s="499">
        <v>1.0000000000000001E-5</v>
      </c>
      <c r="AF54" s="499">
        <v>1.0000000000000001E-5</v>
      </c>
      <c r="AG54" s="499">
        <v>1.0000000000000001E-5</v>
      </c>
      <c r="AH54" s="499">
        <v>1.0000000000000001E-5</v>
      </c>
      <c r="AI54" s="499">
        <v>1.0000000000000001E-5</v>
      </c>
      <c r="AJ54" s="499">
        <v>1.0000000000000001E-5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525">
        <v>162.222207</v>
      </c>
      <c r="H60" s="525">
        <v>152.48548299999999</v>
      </c>
      <c r="I60" s="525">
        <v>125.40522900000001</v>
      </c>
      <c r="J60" s="525">
        <v>128.07257100000001</v>
      </c>
      <c r="K60" s="525">
        <v>130.18250599999999</v>
      </c>
      <c r="L60" s="525">
        <v>132.48146199999999</v>
      </c>
      <c r="M60" s="525">
        <v>134.09786099999999</v>
      </c>
      <c r="N60" s="525">
        <v>133.52292499999999</v>
      </c>
      <c r="O60" s="525">
        <v>133.52296899999999</v>
      </c>
      <c r="P60" s="525">
        <v>133.52292499999999</v>
      </c>
      <c r="Q60" s="525">
        <v>134.21344500000001</v>
      </c>
      <c r="R60" s="525">
        <v>134.213401</v>
      </c>
      <c r="S60" s="525">
        <v>134.21338600000001</v>
      </c>
      <c r="T60" s="525">
        <v>134.21338600000001</v>
      </c>
      <c r="U60" s="525">
        <v>134.21338600000001</v>
      </c>
      <c r="V60" s="525">
        <v>134.21337</v>
      </c>
      <c r="W60" s="525">
        <v>134.21337</v>
      </c>
      <c r="X60" s="525">
        <v>134.21337</v>
      </c>
      <c r="Y60" s="525">
        <v>135.02405400000001</v>
      </c>
      <c r="Z60" s="525">
        <v>135.02405400000001</v>
      </c>
      <c r="AA60" s="525">
        <v>135.19994199999999</v>
      </c>
      <c r="AB60" s="525">
        <v>135.19994299999999</v>
      </c>
      <c r="AC60" s="525">
        <v>135.19994299999999</v>
      </c>
      <c r="AD60" s="525">
        <v>135.19994299999999</v>
      </c>
      <c r="AE60" s="525">
        <v>135.45874699999999</v>
      </c>
      <c r="AF60" s="525">
        <v>135.45879199999999</v>
      </c>
      <c r="AG60" s="525">
        <v>135.45876100000001</v>
      </c>
      <c r="AH60" s="525">
        <v>135.45871500000001</v>
      </c>
      <c r="AI60" s="525">
        <v>136.08383599999999</v>
      </c>
      <c r="AJ60" s="525">
        <v>136.083822</v>
      </c>
      <c r="AK60" s="503">
        <v>4.0000000000000001E-3</v>
      </c>
      <c r="AL60" s="508" t="s">
        <v>728</v>
      </c>
      <c r="AM60" s="29">
        <v>9.9999999999999995E-7</v>
      </c>
    </row>
    <row r="61" spans="1:39">
      <c r="A61" s="501" t="s">
        <v>735</v>
      </c>
      <c r="G61" s="525">
        <v>1.954</v>
      </c>
      <c r="H61" s="525">
        <v>2.032</v>
      </c>
      <c r="I61" s="525">
        <v>2.413675</v>
      </c>
      <c r="J61" s="525">
        <v>2.6329220000000002</v>
      </c>
      <c r="K61" s="525">
        <v>2.6329220000000002</v>
      </c>
      <c r="L61" s="525">
        <v>3.4325480000000002</v>
      </c>
      <c r="M61" s="525">
        <v>4.5954889999999997</v>
      </c>
      <c r="N61" s="525">
        <v>5.3565990000000001</v>
      </c>
      <c r="O61" s="525">
        <v>5.5484929999999997</v>
      </c>
      <c r="P61" s="525">
        <v>5.560594</v>
      </c>
      <c r="Q61" s="525">
        <v>5.9600369999999998</v>
      </c>
      <c r="R61" s="525">
        <v>6.6367599999999998</v>
      </c>
      <c r="S61" s="525">
        <v>7.4563009999999998</v>
      </c>
      <c r="T61" s="525">
        <v>8.3197150000000004</v>
      </c>
      <c r="U61" s="525">
        <v>9.0521349999999998</v>
      </c>
      <c r="V61" s="525">
        <v>9.9619129999999991</v>
      </c>
      <c r="W61" s="525">
        <v>10.783601000000001</v>
      </c>
      <c r="X61" s="525">
        <v>11.229082</v>
      </c>
      <c r="Y61" s="525">
        <v>11.334820000000001</v>
      </c>
      <c r="Z61" s="525">
        <v>11.75822</v>
      </c>
      <c r="AA61" s="525">
        <v>12.825797</v>
      </c>
      <c r="AB61" s="525">
        <v>14.55463</v>
      </c>
      <c r="AC61" s="525">
        <v>16.048373999999999</v>
      </c>
      <c r="AD61" s="525">
        <v>17.544751999999999</v>
      </c>
      <c r="AE61" s="525">
        <v>17.955031999999999</v>
      </c>
      <c r="AF61" s="525">
        <v>18.306678999999999</v>
      </c>
      <c r="AG61" s="525">
        <v>18.575586000000001</v>
      </c>
      <c r="AH61" s="525">
        <v>18.999571</v>
      </c>
      <c r="AI61" s="525">
        <v>19.477578999999999</v>
      </c>
      <c r="AJ61" s="525">
        <v>19.535769999999999</v>
      </c>
      <c r="AK61" s="499" t="s">
        <v>41</v>
      </c>
      <c r="AL61" s="508" t="s">
        <v>729</v>
      </c>
      <c r="AM61" s="29">
        <v>6.5817477134055835E-3</v>
      </c>
    </row>
    <row r="62" spans="1:39">
      <c r="A62" s="501" t="s">
        <v>736</v>
      </c>
      <c r="G62" s="525">
        <v>0.62751400000000002</v>
      </c>
      <c r="H62" s="525">
        <v>0.73646299999999998</v>
      </c>
      <c r="I62" s="525">
        <v>0.87872300000000003</v>
      </c>
      <c r="J62" s="525">
        <v>0.78539499999999995</v>
      </c>
      <c r="K62" s="525">
        <v>0.87771600000000005</v>
      </c>
      <c r="L62" s="525">
        <v>0.78533600000000003</v>
      </c>
      <c r="M62" s="525">
        <v>0.87237699999999996</v>
      </c>
      <c r="N62" s="525">
        <v>0.68582600000000005</v>
      </c>
      <c r="O62" s="525">
        <v>0.88579399999999997</v>
      </c>
      <c r="P62" s="525">
        <v>0.97640300000000002</v>
      </c>
      <c r="Q62" s="525">
        <v>0.88587199999999999</v>
      </c>
      <c r="R62" s="525">
        <v>0.78643700000000005</v>
      </c>
      <c r="S62" s="525">
        <v>0.87707999999999997</v>
      </c>
      <c r="T62" s="525">
        <v>0.97947099999999998</v>
      </c>
      <c r="U62" s="525">
        <v>0.78452100000000002</v>
      </c>
      <c r="V62" s="525">
        <v>0.87380000000000002</v>
      </c>
      <c r="W62" s="525">
        <v>0.87334900000000004</v>
      </c>
      <c r="X62" s="525">
        <v>0.88547699999999996</v>
      </c>
      <c r="Y62" s="525">
        <v>0.77254599999999995</v>
      </c>
      <c r="Z62" s="525">
        <v>0.77651499999999996</v>
      </c>
      <c r="AA62" s="525">
        <v>0.87795400000000001</v>
      </c>
      <c r="AB62" s="525">
        <v>0.77105699999999999</v>
      </c>
      <c r="AC62" s="525">
        <v>0.87198399999999998</v>
      </c>
      <c r="AD62" s="525">
        <v>0.87318600000000002</v>
      </c>
      <c r="AE62" s="525">
        <v>0.769343</v>
      </c>
      <c r="AF62" s="525">
        <v>0.87090699999999999</v>
      </c>
      <c r="AG62" s="525">
        <v>0.76851599999999998</v>
      </c>
      <c r="AH62" s="525">
        <v>0.76966100000000004</v>
      </c>
      <c r="AI62" s="525">
        <v>0.76929400000000003</v>
      </c>
      <c r="AJ62" s="525">
        <v>0.78509700000000004</v>
      </c>
      <c r="AK62" s="503">
        <v>4.0000000000000001E-3</v>
      </c>
      <c r="AL62" s="508" t="s">
        <v>730</v>
      </c>
      <c r="AM62" s="29">
        <v>0</v>
      </c>
    </row>
    <row r="63" spans="1:39">
      <c r="A63" s="501" t="s">
        <v>737</v>
      </c>
      <c r="G63" s="525">
        <v>2.6048960000000001</v>
      </c>
      <c r="H63" s="525">
        <v>2.52163</v>
      </c>
      <c r="I63" s="525">
        <v>2.4783379999999999</v>
      </c>
      <c r="J63" s="525">
        <v>2.6484580000000002</v>
      </c>
      <c r="K63" s="525">
        <v>2.6254789999999999</v>
      </c>
      <c r="L63" s="525">
        <v>2.8440859999999999</v>
      </c>
      <c r="M63" s="525">
        <v>3.1130680000000002</v>
      </c>
      <c r="N63" s="525">
        <v>3.8038400000000001</v>
      </c>
      <c r="O63" s="525">
        <v>4.2440170000000004</v>
      </c>
      <c r="P63" s="525">
        <v>4.3191179999999996</v>
      </c>
      <c r="Q63" s="525">
        <v>4.5315149999999997</v>
      </c>
      <c r="R63" s="525">
        <v>4.6377730000000001</v>
      </c>
      <c r="S63" s="525">
        <v>4.7140420000000001</v>
      </c>
      <c r="T63" s="525">
        <v>4.871772</v>
      </c>
      <c r="U63" s="525">
        <v>4.9320510000000004</v>
      </c>
      <c r="V63" s="525">
        <v>5.2148560000000002</v>
      </c>
      <c r="W63" s="525">
        <v>5.3218880000000004</v>
      </c>
      <c r="X63" s="525">
        <v>5.3656499999999996</v>
      </c>
      <c r="Y63" s="525">
        <v>5.4569850000000004</v>
      </c>
      <c r="Z63" s="525">
        <v>5.5342460000000004</v>
      </c>
      <c r="AA63" s="525">
        <v>5.6304230000000004</v>
      </c>
      <c r="AB63" s="525">
        <v>5.9599130000000002</v>
      </c>
      <c r="AC63" s="525">
        <v>6.0681560000000001</v>
      </c>
      <c r="AD63" s="525">
        <v>6.2059850000000001</v>
      </c>
      <c r="AE63" s="525">
        <v>6.3535630000000003</v>
      </c>
      <c r="AF63" s="525">
        <v>6.488855</v>
      </c>
      <c r="AG63" s="525">
        <v>6.7667320000000002</v>
      </c>
      <c r="AH63" s="525">
        <v>6.910914</v>
      </c>
      <c r="AI63" s="525">
        <v>7.0930580000000001</v>
      </c>
      <c r="AJ63" s="525">
        <v>7.2849589999999997</v>
      </c>
      <c r="AK63" s="503">
        <v>1.7999999999999999E-2</v>
      </c>
      <c r="AL63" s="508" t="s">
        <v>143</v>
      </c>
      <c r="AM63" s="29">
        <v>0.14709980140433174</v>
      </c>
    </row>
    <row r="64" spans="1:39">
      <c r="A64" s="501" t="s">
        <v>738</v>
      </c>
      <c r="G64" s="525">
        <v>0.51155099999999998</v>
      </c>
      <c r="H64" s="525">
        <v>0.82118500000000005</v>
      </c>
      <c r="I64" s="525">
        <v>1.023638</v>
      </c>
      <c r="J64" s="525">
        <v>1.1740429999999999</v>
      </c>
      <c r="K64" s="525">
        <v>1.3337669999999999</v>
      </c>
      <c r="L64" s="525">
        <v>1.486693</v>
      </c>
      <c r="M64" s="525">
        <v>1.5023340000000001</v>
      </c>
      <c r="N64" s="525">
        <v>1.520192</v>
      </c>
      <c r="O64" s="525">
        <v>1.5423739999999999</v>
      </c>
      <c r="P64" s="525">
        <v>1.570133</v>
      </c>
      <c r="Q64" s="525">
        <v>1.600212</v>
      </c>
      <c r="R64" s="525">
        <v>1.6359220000000001</v>
      </c>
      <c r="S64" s="525">
        <v>1.6757070000000001</v>
      </c>
      <c r="T64" s="525">
        <v>1.7184809999999999</v>
      </c>
      <c r="U64" s="525">
        <v>1.7902469999999999</v>
      </c>
      <c r="V64" s="525">
        <v>1.88171</v>
      </c>
      <c r="W64" s="525">
        <v>1.9504509999999999</v>
      </c>
      <c r="X64" s="525">
        <v>2.0058950000000002</v>
      </c>
      <c r="Y64" s="525">
        <v>2.0631339999999998</v>
      </c>
      <c r="Z64" s="525">
        <v>2.1304449999999999</v>
      </c>
      <c r="AA64" s="525">
        <v>2.201117</v>
      </c>
      <c r="AB64" s="525">
        <v>2.2741250000000002</v>
      </c>
      <c r="AC64" s="525">
        <v>2.3493219999999999</v>
      </c>
      <c r="AD64" s="525">
        <v>2.531155</v>
      </c>
      <c r="AE64" s="525">
        <v>2.8220130000000001</v>
      </c>
      <c r="AF64" s="525">
        <v>2.9991880000000002</v>
      </c>
      <c r="AG64" s="525">
        <v>3.0883639999999999</v>
      </c>
      <c r="AH64" s="525">
        <v>3.1784089999999998</v>
      </c>
      <c r="AI64" s="525">
        <v>3.26749</v>
      </c>
      <c r="AJ64" s="525">
        <v>3.358225</v>
      </c>
      <c r="AK64" s="503">
        <v>7.0000000000000007E-2</v>
      </c>
      <c r="AL64" s="508" t="s">
        <v>731</v>
      </c>
      <c r="AM64" s="29">
        <v>9.9999999999999995E-7</v>
      </c>
    </row>
    <row r="65" spans="1:44">
      <c r="A65" s="501" t="s">
        <v>739</v>
      </c>
      <c r="G65" s="525">
        <v>24.002313000000001</v>
      </c>
      <c r="H65" s="525">
        <v>27.39631</v>
      </c>
      <c r="I65" s="525">
        <v>32.237394999999999</v>
      </c>
      <c r="J65" s="525">
        <v>32.337364999999998</v>
      </c>
      <c r="K65" s="525">
        <v>34.599170000000001</v>
      </c>
      <c r="L65" s="525">
        <v>35.894435999999999</v>
      </c>
      <c r="M65" s="525">
        <v>35.896509999999999</v>
      </c>
      <c r="N65" s="525">
        <v>35.895629999999997</v>
      </c>
      <c r="O65" s="525">
        <v>35.893549</v>
      </c>
      <c r="P65" s="525">
        <v>35.892992</v>
      </c>
      <c r="Q65" s="525">
        <v>35.892755999999999</v>
      </c>
      <c r="R65" s="525">
        <v>35.904451000000002</v>
      </c>
      <c r="S65" s="525">
        <v>35.896577000000001</v>
      </c>
      <c r="T65" s="525">
        <v>35.895961</v>
      </c>
      <c r="U65" s="525">
        <v>35.930641000000001</v>
      </c>
      <c r="V65" s="525">
        <v>35.984830000000002</v>
      </c>
      <c r="W65" s="525">
        <v>36.036448</v>
      </c>
      <c r="X65" s="525">
        <v>36.060358000000001</v>
      </c>
      <c r="Y65" s="525">
        <v>36.069781999999996</v>
      </c>
      <c r="Z65" s="525">
        <v>36.112904</v>
      </c>
      <c r="AA65" s="525">
        <v>36.165244000000001</v>
      </c>
      <c r="AB65" s="525">
        <v>36.21696</v>
      </c>
      <c r="AC65" s="525">
        <v>36.271877000000003</v>
      </c>
      <c r="AD65" s="525">
        <v>36.501784999999998</v>
      </c>
      <c r="AE65" s="525">
        <v>36.661152000000001</v>
      </c>
      <c r="AF65" s="525">
        <v>39.680852000000002</v>
      </c>
      <c r="AG65" s="525">
        <v>43.158693999999997</v>
      </c>
      <c r="AH65" s="525">
        <v>44.111682000000002</v>
      </c>
      <c r="AI65" s="525">
        <v>44.450904999999999</v>
      </c>
      <c r="AJ65" s="525">
        <v>45.045571000000002</v>
      </c>
      <c r="AK65" s="503">
        <v>7.2999999999999995E-2</v>
      </c>
      <c r="AL65" s="508" t="s">
        <v>732</v>
      </c>
      <c r="AM65" s="29">
        <v>1.1000000000000001E-6</v>
      </c>
    </row>
    <row r="66" spans="1:44">
      <c r="A66" s="502" t="s">
        <v>740</v>
      </c>
      <c r="G66" s="526">
        <v>191.92248000000001</v>
      </c>
      <c r="H66" s="526">
        <v>185.99306100000001</v>
      </c>
      <c r="I66" s="526">
        <v>164.43701300000001</v>
      </c>
      <c r="J66" s="526">
        <v>167.650746</v>
      </c>
      <c r="K66" s="526">
        <v>172.25156000000001</v>
      </c>
      <c r="L66" s="526">
        <v>176.92456100000001</v>
      </c>
      <c r="M66" s="526">
        <v>180.07764299999999</v>
      </c>
      <c r="N66" s="526">
        <v>180.78501900000001</v>
      </c>
      <c r="O66" s="526">
        <v>181.63718800000001</v>
      </c>
      <c r="P66" s="526">
        <v>181.842163</v>
      </c>
      <c r="Q66" s="526">
        <v>183.08384799999999</v>
      </c>
      <c r="R66" s="526">
        <v>183.81473399999999</v>
      </c>
      <c r="S66" s="526">
        <v>184.83309299999999</v>
      </c>
      <c r="T66" s="526">
        <v>185.998785</v>
      </c>
      <c r="U66" s="526">
        <v>186.70298</v>
      </c>
      <c r="V66" s="526">
        <v>188.13050100000001</v>
      </c>
      <c r="W66" s="526">
        <v>189.17910800000001</v>
      </c>
      <c r="X66" s="526">
        <v>189.75981899999999</v>
      </c>
      <c r="Y66" s="526">
        <v>190.72131400000001</v>
      </c>
      <c r="Z66" s="526">
        <v>191.33638099999999</v>
      </c>
      <c r="AA66" s="526">
        <v>192.900475</v>
      </c>
      <c r="AB66" s="526">
        <v>194.976618</v>
      </c>
      <c r="AC66" s="526">
        <v>196.80967899999999</v>
      </c>
      <c r="AD66" s="526">
        <v>198.85680199999999</v>
      </c>
      <c r="AE66" s="526">
        <v>200.019869</v>
      </c>
      <c r="AF66" s="526">
        <v>203.805263</v>
      </c>
      <c r="AG66" s="526">
        <v>207.81667400000001</v>
      </c>
      <c r="AH66" s="526">
        <v>209.428957</v>
      </c>
      <c r="AI66" s="526">
        <v>211.14216999999999</v>
      </c>
      <c r="AJ66" s="526">
        <v>212.093433</v>
      </c>
      <c r="AK66" s="504">
        <v>2.1999999999999999E-2</v>
      </c>
      <c r="AL66" s="508" t="s">
        <v>733</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1.6528359016762199E-2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0.84299999999999997</v>
      </c>
      <c r="C73" s="491">
        <f t="shared" ref="C73:F73" si="0">AO73</f>
        <v>0.72899999999999998</v>
      </c>
      <c r="D73" s="491">
        <f t="shared" si="0"/>
        <v>0.83499999999999996</v>
      </c>
      <c r="E73" s="491">
        <f t="shared" si="0"/>
        <v>0.96699999999999997</v>
      </c>
      <c r="F73" s="491">
        <f t="shared" si="0"/>
        <v>1.024</v>
      </c>
      <c r="G73" s="484">
        <f t="shared" ref="G73:AJ73" si="1">G60*$AM61</f>
        <v>1.0677056399858573</v>
      </c>
      <c r="H73" s="484">
        <f t="shared" si="1"/>
        <v>1.0036209790627959</v>
      </c>
      <c r="I73" s="484">
        <f t="shared" si="1"/>
        <v>0.82538557921985356</v>
      </c>
      <c r="J73" s="484">
        <f t="shared" si="1"/>
        <v>0.84294135132922432</v>
      </c>
      <c r="K73" s="484">
        <f t="shared" si="1"/>
        <v>0.85682841119090858</v>
      </c>
      <c r="L73" s="484">
        <f t="shared" si="1"/>
        <v>0.87195955958712867</v>
      </c>
      <c r="M73" s="484">
        <f t="shared" si="1"/>
        <v>0.88259829000932977</v>
      </c>
      <c r="N73" s="484">
        <f t="shared" si="1"/>
        <v>0.87881420630597518</v>
      </c>
      <c r="O73" s="484">
        <f t="shared" si="1"/>
        <v>0.87881449590287453</v>
      </c>
      <c r="P73" s="484">
        <f t="shared" si="1"/>
        <v>0.87881420630597518</v>
      </c>
      <c r="Q73" s="484">
        <f t="shared" si="1"/>
        <v>0.88335903473703614</v>
      </c>
      <c r="R73" s="484">
        <f t="shared" si="1"/>
        <v>0.88335874514013668</v>
      </c>
      <c r="S73" s="484">
        <f t="shared" si="1"/>
        <v>0.88335864641392103</v>
      </c>
      <c r="T73" s="484">
        <f t="shared" si="1"/>
        <v>0.88335864641392103</v>
      </c>
      <c r="U73" s="484">
        <f t="shared" si="1"/>
        <v>0.88335864641392103</v>
      </c>
      <c r="V73" s="484">
        <f t="shared" si="1"/>
        <v>0.88335854110595757</v>
      </c>
      <c r="W73" s="484">
        <f t="shared" si="1"/>
        <v>0.88335854110595757</v>
      </c>
      <c r="X73" s="484">
        <f t="shared" si="1"/>
        <v>0.88335854110595757</v>
      </c>
      <c r="Y73" s="484">
        <f t="shared" si="1"/>
        <v>0.88869425866925211</v>
      </c>
      <c r="Z73" s="484">
        <f t="shared" si="1"/>
        <v>0.88869425866925211</v>
      </c>
      <c r="AA73" s="484">
        <f t="shared" si="1"/>
        <v>0.88985190911106749</v>
      </c>
      <c r="AB73" s="484">
        <f t="shared" si="1"/>
        <v>0.88985191569281519</v>
      </c>
      <c r="AC73" s="484">
        <f t="shared" si="1"/>
        <v>0.88985191569281519</v>
      </c>
      <c r="AD73" s="484">
        <f t="shared" si="1"/>
        <v>0.88985191569281519</v>
      </c>
      <c r="AE73" s="484">
        <f t="shared" si="1"/>
        <v>0.89155529832803537</v>
      </c>
      <c r="AF73" s="484">
        <f t="shared" si="1"/>
        <v>0.89155559450668243</v>
      </c>
      <c r="AG73" s="484">
        <f t="shared" si="1"/>
        <v>0.89155539047250354</v>
      </c>
      <c r="AH73" s="484">
        <f t="shared" si="1"/>
        <v>0.89155508771210867</v>
      </c>
      <c r="AI73" s="484">
        <f t="shared" si="1"/>
        <v>0.89566947642446038</v>
      </c>
      <c r="AJ73" s="484">
        <f t="shared" si="1"/>
        <v>0.89566938427999243</v>
      </c>
      <c r="AK73" s="485"/>
      <c r="AM73" s="18" t="s">
        <v>729</v>
      </c>
      <c r="AN73" s="18">
        <v>0.84299999999999997</v>
      </c>
      <c r="AO73" s="18">
        <v>0.72899999999999998</v>
      </c>
      <c r="AP73" s="18">
        <v>0.83499999999999996</v>
      </c>
      <c r="AQ73" s="18">
        <v>0.96699999999999997</v>
      </c>
      <c r="AR73" s="18">
        <v>1.024</v>
      </c>
    </row>
    <row r="74" spans="1:44" s="18" customFormat="1">
      <c r="A74" s="17" t="s">
        <v>50</v>
      </c>
      <c r="B74" s="491">
        <f>AN72</f>
        <v>0</v>
      </c>
      <c r="C74" s="491">
        <f t="shared" ref="C74:F74" si="2">AO72</f>
        <v>0</v>
      </c>
      <c r="D74" s="491">
        <f t="shared" si="2"/>
        <v>0</v>
      </c>
      <c r="E74" s="491">
        <f t="shared" si="2"/>
        <v>0</v>
      </c>
      <c r="F74" s="491">
        <f t="shared" si="2"/>
        <v>0</v>
      </c>
      <c r="G74" s="484">
        <f t="shared" ref="G74:AJ74" si="3">G61*$AM60</f>
        <v>1.9539999999999998E-6</v>
      </c>
      <c r="H74" s="484">
        <f t="shared" si="3"/>
        <v>2.0319999999999998E-6</v>
      </c>
      <c r="I74" s="484">
        <f t="shared" si="3"/>
        <v>2.4136749999999998E-6</v>
      </c>
      <c r="J74" s="484">
        <f t="shared" si="3"/>
        <v>2.632922E-6</v>
      </c>
      <c r="K74" s="484">
        <f t="shared" si="3"/>
        <v>2.632922E-6</v>
      </c>
      <c r="L74" s="484">
        <f t="shared" si="3"/>
        <v>3.4325479999999998E-6</v>
      </c>
      <c r="M74" s="484">
        <f t="shared" si="3"/>
        <v>4.5954889999999994E-6</v>
      </c>
      <c r="N74" s="484">
        <f t="shared" si="3"/>
        <v>5.3565990000000003E-6</v>
      </c>
      <c r="O74" s="484">
        <f t="shared" si="3"/>
        <v>5.5484929999999995E-6</v>
      </c>
      <c r="P74" s="484">
        <f t="shared" si="3"/>
        <v>5.560594E-6</v>
      </c>
      <c r="Q74" s="484">
        <f t="shared" si="3"/>
        <v>5.9600369999999992E-6</v>
      </c>
      <c r="R74" s="484">
        <f t="shared" si="3"/>
        <v>6.6367599999999995E-6</v>
      </c>
      <c r="S74" s="484">
        <f t="shared" si="3"/>
        <v>7.4563009999999995E-6</v>
      </c>
      <c r="T74" s="484">
        <f t="shared" si="3"/>
        <v>8.3197150000000004E-6</v>
      </c>
      <c r="U74" s="484">
        <f t="shared" si="3"/>
        <v>9.052135E-6</v>
      </c>
      <c r="V74" s="484">
        <f t="shared" si="3"/>
        <v>9.9619129999999992E-6</v>
      </c>
      <c r="W74" s="484">
        <f t="shared" si="3"/>
        <v>1.0783601000000001E-5</v>
      </c>
      <c r="X74" s="484">
        <f t="shared" si="3"/>
        <v>1.1229082E-5</v>
      </c>
      <c r="Y74" s="484">
        <f t="shared" si="3"/>
        <v>1.133482E-5</v>
      </c>
      <c r="Z74" s="484">
        <f t="shared" si="3"/>
        <v>1.1758219999999998E-5</v>
      </c>
      <c r="AA74" s="484">
        <f t="shared" si="3"/>
        <v>1.2825796999999999E-5</v>
      </c>
      <c r="AB74" s="484">
        <f t="shared" si="3"/>
        <v>1.4554629999999998E-5</v>
      </c>
      <c r="AC74" s="484">
        <f t="shared" si="3"/>
        <v>1.6048373999999999E-5</v>
      </c>
      <c r="AD74" s="484">
        <f t="shared" si="3"/>
        <v>1.7544751999999997E-5</v>
      </c>
      <c r="AE74" s="484">
        <f t="shared" si="3"/>
        <v>1.7955031999999998E-5</v>
      </c>
      <c r="AF74" s="484">
        <f t="shared" si="3"/>
        <v>1.8306678999999998E-5</v>
      </c>
      <c r="AG74" s="484">
        <f t="shared" si="3"/>
        <v>1.8575586000000001E-5</v>
      </c>
      <c r="AH74" s="484">
        <f t="shared" si="3"/>
        <v>1.8999570999999997E-5</v>
      </c>
      <c r="AI74" s="484">
        <f t="shared" si="3"/>
        <v>1.9477578999999997E-5</v>
      </c>
      <c r="AJ74" s="484">
        <f t="shared" si="3"/>
        <v>1.9535769999999998E-5</v>
      </c>
      <c r="AK74" s="485"/>
      <c r="AM74" s="18" t="s">
        <v>730</v>
      </c>
      <c r="AN74" s="18">
        <v>0</v>
      </c>
      <c r="AO74" s="18">
        <v>0</v>
      </c>
      <c r="AP74" s="18">
        <v>0</v>
      </c>
      <c r="AQ74" s="18">
        <v>0</v>
      </c>
      <c r="AR74" s="18">
        <v>0</v>
      </c>
    </row>
    <row r="75" spans="1:44" s="18" customFormat="1">
      <c r="A75" s="17" t="s">
        <v>51</v>
      </c>
      <c r="B75" s="491">
        <f>AN77</f>
        <v>0</v>
      </c>
      <c r="C75" s="491">
        <f t="shared" ref="C75:F75" si="4">AO77</f>
        <v>0</v>
      </c>
      <c r="D75" s="491">
        <f t="shared" si="4"/>
        <v>0</v>
      </c>
      <c r="E75" s="491">
        <f t="shared" si="4"/>
        <v>0</v>
      </c>
      <c r="F75" s="491">
        <f t="shared" si="4"/>
        <v>0</v>
      </c>
      <c r="G75" s="484">
        <f t="shared" ref="G75:AJ75" si="5">G62*$AM65</f>
        <v>6.9026540000000004E-7</v>
      </c>
      <c r="H75" s="484">
        <f t="shared" si="5"/>
        <v>8.1010930000000005E-7</v>
      </c>
      <c r="I75" s="484">
        <f t="shared" si="5"/>
        <v>9.6659530000000009E-7</v>
      </c>
      <c r="J75" s="484">
        <f t="shared" si="5"/>
        <v>8.639345E-7</v>
      </c>
      <c r="K75" s="484">
        <f t="shared" si="5"/>
        <v>9.6548760000000003E-7</v>
      </c>
      <c r="L75" s="484">
        <f t="shared" si="5"/>
        <v>8.6386960000000005E-7</v>
      </c>
      <c r="M75" s="484">
        <f t="shared" si="5"/>
        <v>9.5961470000000006E-7</v>
      </c>
      <c r="N75" s="484">
        <f t="shared" si="5"/>
        <v>7.544086000000001E-7</v>
      </c>
      <c r="O75" s="484">
        <f t="shared" si="5"/>
        <v>9.7437340000000001E-7</v>
      </c>
      <c r="P75" s="484">
        <f t="shared" si="5"/>
        <v>1.0740433000000002E-6</v>
      </c>
      <c r="Q75" s="484">
        <f t="shared" si="5"/>
        <v>9.7445919999999996E-7</v>
      </c>
      <c r="R75" s="484">
        <f t="shared" si="5"/>
        <v>8.6508070000000007E-7</v>
      </c>
      <c r="S75" s="484">
        <f t="shared" si="5"/>
        <v>9.6478799999999994E-7</v>
      </c>
      <c r="T75" s="484">
        <f t="shared" si="5"/>
        <v>1.0774181000000001E-6</v>
      </c>
      <c r="U75" s="484">
        <f t="shared" si="5"/>
        <v>8.6297310000000008E-7</v>
      </c>
      <c r="V75" s="484">
        <f t="shared" si="5"/>
        <v>9.6118000000000009E-7</v>
      </c>
      <c r="W75" s="484">
        <f t="shared" si="5"/>
        <v>9.6068390000000001E-7</v>
      </c>
      <c r="X75" s="484">
        <f t="shared" si="5"/>
        <v>9.7402469999999993E-7</v>
      </c>
      <c r="Y75" s="484">
        <f t="shared" si="5"/>
        <v>8.4980059999999995E-7</v>
      </c>
      <c r="Z75" s="484">
        <f t="shared" si="5"/>
        <v>8.5416650000000004E-7</v>
      </c>
      <c r="AA75" s="484">
        <f t="shared" si="5"/>
        <v>9.6574939999999997E-7</v>
      </c>
      <c r="AB75" s="484">
        <f t="shared" si="5"/>
        <v>8.4816269999999999E-7</v>
      </c>
      <c r="AC75" s="484">
        <f t="shared" si="5"/>
        <v>9.5918239999999996E-7</v>
      </c>
      <c r="AD75" s="484">
        <f t="shared" si="5"/>
        <v>9.6050460000000012E-7</v>
      </c>
      <c r="AE75" s="484">
        <f t="shared" si="5"/>
        <v>8.4627730000000008E-7</v>
      </c>
      <c r="AF75" s="484">
        <f t="shared" si="5"/>
        <v>9.579977000000001E-7</v>
      </c>
      <c r="AG75" s="484">
        <f t="shared" si="5"/>
        <v>8.4536759999999998E-7</v>
      </c>
      <c r="AH75" s="484">
        <f t="shared" si="5"/>
        <v>8.4662710000000013E-7</v>
      </c>
      <c r="AI75" s="484">
        <f t="shared" si="5"/>
        <v>8.4622340000000012E-7</v>
      </c>
      <c r="AJ75" s="484">
        <f t="shared" si="5"/>
        <v>8.6360670000000014E-7</v>
      </c>
      <c r="AK75" s="485"/>
      <c r="AM75" s="18" t="s">
        <v>143</v>
      </c>
      <c r="AN75" s="18">
        <v>0.75900000000000001</v>
      </c>
      <c r="AO75" s="18">
        <v>0.755</v>
      </c>
      <c r="AP75" s="18">
        <v>0.96299999999999997</v>
      </c>
      <c r="AQ75" s="18">
        <v>2.226</v>
      </c>
      <c r="AR75" s="18">
        <v>3.2469999999999999</v>
      </c>
    </row>
    <row r="76" spans="1:44" s="18" customFormat="1">
      <c r="A76" s="17" t="s">
        <v>56</v>
      </c>
      <c r="B76" s="492">
        <f>AN76</f>
        <v>0</v>
      </c>
      <c r="C76" s="492">
        <f t="shared" ref="C76:F76" si="6">AO76</f>
        <v>0</v>
      </c>
      <c r="D76" s="492">
        <f t="shared" si="6"/>
        <v>0</v>
      </c>
      <c r="E76" s="492">
        <f t="shared" si="6"/>
        <v>0</v>
      </c>
      <c r="F76" s="492">
        <f t="shared" si="6"/>
        <v>0</v>
      </c>
      <c r="G76" s="492">
        <f>G63*$AM$64</f>
        <v>2.6048960000000001E-6</v>
      </c>
      <c r="H76" s="492">
        <f>H63*$AM$64</f>
        <v>2.5216300000000001E-6</v>
      </c>
      <c r="I76" s="492">
        <f t="shared" ref="I76:AJ76" si="7">I63*$AM$64</f>
        <v>2.4783379999999998E-6</v>
      </c>
      <c r="J76" s="492">
        <f t="shared" si="7"/>
        <v>2.6484580000000002E-6</v>
      </c>
      <c r="K76" s="492">
        <f t="shared" si="7"/>
        <v>2.6254789999999997E-6</v>
      </c>
      <c r="L76" s="492">
        <f t="shared" si="7"/>
        <v>2.8440859999999996E-6</v>
      </c>
      <c r="M76" s="492">
        <f t="shared" si="7"/>
        <v>3.1130679999999999E-6</v>
      </c>
      <c r="N76" s="492">
        <f t="shared" si="7"/>
        <v>3.8038399999999997E-6</v>
      </c>
      <c r="O76" s="492">
        <f t="shared" si="7"/>
        <v>4.2440170000000002E-6</v>
      </c>
      <c r="P76" s="492">
        <f t="shared" si="7"/>
        <v>4.3191179999999991E-6</v>
      </c>
      <c r="Q76" s="492">
        <f t="shared" si="7"/>
        <v>4.5315149999999999E-6</v>
      </c>
      <c r="R76" s="492">
        <f t="shared" si="7"/>
        <v>4.6377730000000002E-6</v>
      </c>
      <c r="S76" s="492">
        <f t="shared" si="7"/>
        <v>4.714042E-6</v>
      </c>
      <c r="T76" s="492">
        <f t="shared" si="7"/>
        <v>4.8717719999999997E-6</v>
      </c>
      <c r="U76" s="492">
        <f t="shared" si="7"/>
        <v>4.9320509999999999E-6</v>
      </c>
      <c r="V76" s="492">
        <f t="shared" si="7"/>
        <v>5.2148560000000003E-6</v>
      </c>
      <c r="W76" s="492">
        <f t="shared" si="7"/>
        <v>5.3218880000000003E-6</v>
      </c>
      <c r="X76" s="492">
        <f t="shared" si="7"/>
        <v>5.3656499999999992E-6</v>
      </c>
      <c r="Y76" s="492">
        <f t="shared" si="7"/>
        <v>5.4569850000000002E-6</v>
      </c>
      <c r="Z76" s="492">
        <f t="shared" si="7"/>
        <v>5.5342460000000003E-6</v>
      </c>
      <c r="AA76" s="492">
        <f t="shared" si="7"/>
        <v>5.6304229999999999E-6</v>
      </c>
      <c r="AB76" s="492">
        <f t="shared" si="7"/>
        <v>5.959913E-6</v>
      </c>
      <c r="AC76" s="492">
        <f t="shared" si="7"/>
        <v>6.0681560000000002E-6</v>
      </c>
      <c r="AD76" s="492">
        <f t="shared" si="7"/>
        <v>6.2059850000000002E-6</v>
      </c>
      <c r="AE76" s="492">
        <f t="shared" si="7"/>
        <v>6.3535630000000001E-6</v>
      </c>
      <c r="AF76" s="492">
        <f t="shared" si="7"/>
        <v>6.4888550000000001E-6</v>
      </c>
      <c r="AG76" s="492">
        <f t="shared" si="7"/>
        <v>6.766732E-6</v>
      </c>
      <c r="AH76" s="492">
        <f t="shared" si="7"/>
        <v>6.9109139999999993E-6</v>
      </c>
      <c r="AI76" s="492">
        <f t="shared" si="7"/>
        <v>7.093058E-6</v>
      </c>
      <c r="AJ76" s="492">
        <f t="shared" si="7"/>
        <v>7.2849589999999992E-6</v>
      </c>
      <c r="AK76" s="485"/>
      <c r="AM76" s="18" t="s">
        <v>747</v>
      </c>
      <c r="AN76" s="18">
        <v>0</v>
      </c>
      <c r="AO76" s="18">
        <v>0</v>
      </c>
      <c r="AP76" s="18">
        <v>0</v>
      </c>
      <c r="AQ76" s="18">
        <v>0</v>
      </c>
      <c r="AR76" s="18">
        <v>0</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0</v>
      </c>
      <c r="AO77" s="18">
        <v>0</v>
      </c>
      <c r="AP77" s="18">
        <v>0</v>
      </c>
      <c r="AQ77" s="18">
        <v>0</v>
      </c>
      <c r="AR77" s="18">
        <v>0</v>
      </c>
    </row>
    <row r="78" spans="1:44" s="18" customFormat="1">
      <c r="A78" s="17" t="s">
        <v>53</v>
      </c>
      <c r="B78" s="491">
        <f>AN75</f>
        <v>0.75900000000000001</v>
      </c>
      <c r="C78" s="491">
        <f t="shared" ref="C78:F78" si="10">AO75</f>
        <v>0.755</v>
      </c>
      <c r="D78" s="491">
        <f t="shared" si="10"/>
        <v>0.96299999999999997</v>
      </c>
      <c r="E78" s="491">
        <f t="shared" si="10"/>
        <v>2.226</v>
      </c>
      <c r="F78" s="491">
        <f t="shared" si="10"/>
        <v>3.2469999999999999</v>
      </c>
      <c r="G78" s="484">
        <f t="shared" ref="G78:AJ78" si="11">G65*$AM63</f>
        <v>3.5307354755446099</v>
      </c>
      <c r="H78" s="484">
        <f t="shared" si="11"/>
        <v>4.0299917602115078</v>
      </c>
      <c r="I78" s="484">
        <f t="shared" si="11"/>
        <v>4.7421144022929971</v>
      </c>
      <c r="J78" s="484">
        <f t="shared" si="11"/>
        <v>4.7568199694393876</v>
      </c>
      <c r="K78" s="484">
        <f t="shared" si="11"/>
        <v>5.089531035754713</v>
      </c>
      <c r="L78" s="484">
        <f t="shared" si="11"/>
        <v>5.2800644071204959</v>
      </c>
      <c r="M78" s="484">
        <f t="shared" si="11"/>
        <v>5.2803694921086084</v>
      </c>
      <c r="N78" s="484">
        <f t="shared" si="11"/>
        <v>5.2802400442833717</v>
      </c>
      <c r="O78" s="484">
        <f t="shared" si="11"/>
        <v>5.2799339295966501</v>
      </c>
      <c r="P78" s="484">
        <f t="shared" si="11"/>
        <v>5.2798519950072675</v>
      </c>
      <c r="Q78" s="484">
        <f t="shared" si="11"/>
        <v>5.2798172794541358</v>
      </c>
      <c r="R78" s="484">
        <f t="shared" si="11"/>
        <v>5.2815376116315607</v>
      </c>
      <c r="S78" s="484">
        <f t="shared" si="11"/>
        <v>5.2803793477953027</v>
      </c>
      <c r="T78" s="484">
        <f t="shared" si="11"/>
        <v>5.2802887343176375</v>
      </c>
      <c r="U78" s="484">
        <f t="shared" si="11"/>
        <v>5.2853901554303393</v>
      </c>
      <c r="V78" s="484">
        <f t="shared" si="11"/>
        <v>5.2933613465686395</v>
      </c>
      <c r="W78" s="484">
        <f t="shared" si="11"/>
        <v>5.3009543441175273</v>
      </c>
      <c r="X78" s="484">
        <f t="shared" si="11"/>
        <v>5.3044715003691056</v>
      </c>
      <c r="Y78" s="484">
        <f t="shared" si="11"/>
        <v>5.305857768897539</v>
      </c>
      <c r="Z78" s="484">
        <f t="shared" si="11"/>
        <v>5.3122010065336971</v>
      </c>
      <c r="AA78" s="484">
        <f t="shared" si="11"/>
        <v>5.3199002101391999</v>
      </c>
      <c r="AB78" s="484">
        <f t="shared" si="11"/>
        <v>5.3275076234686267</v>
      </c>
      <c r="AC78" s="484">
        <f t="shared" si="11"/>
        <v>5.3355859032623485</v>
      </c>
      <c r="AD78" s="484">
        <f t="shared" si="11"/>
        <v>5.3694053244036146</v>
      </c>
      <c r="AE78" s="484">
        <f t="shared" si="11"/>
        <v>5.3928481784540194</v>
      </c>
      <c r="AF78" s="484">
        <f t="shared" si="11"/>
        <v>5.8370454487546803</v>
      </c>
      <c r="AG78" s="484">
        <f t="shared" si="11"/>
        <v>6.3486353162703235</v>
      </c>
      <c r="AH78" s="484">
        <f t="shared" si="11"/>
        <v>6.4888196618110356</v>
      </c>
      <c r="AI78" s="484">
        <f t="shared" si="11"/>
        <v>6.5387192977428166</v>
      </c>
      <c r="AJ78" s="484">
        <f t="shared" si="11"/>
        <v>6.6261945482447251</v>
      </c>
      <c r="AK78" s="485"/>
      <c r="AM78" s="18" t="s">
        <v>753</v>
      </c>
      <c r="AN78" s="18">
        <v>0</v>
      </c>
      <c r="AO78" s="18">
        <v>0</v>
      </c>
      <c r="AP78" s="18">
        <v>0</v>
      </c>
      <c r="AQ78" s="18">
        <v>0</v>
      </c>
      <c r="AR78" s="18">
        <v>0</v>
      </c>
    </row>
    <row r="79" spans="1:44" s="18" customFormat="1">
      <c r="A79" s="17" t="s">
        <v>54</v>
      </c>
      <c r="B79" s="493">
        <f>AN79</f>
        <v>1.6020000000000001</v>
      </c>
      <c r="C79" s="493">
        <f t="shared" ref="C79:F79" si="12">AO79</f>
        <v>1.484</v>
      </c>
      <c r="D79" s="493">
        <f t="shared" si="12"/>
        <v>1.798</v>
      </c>
      <c r="E79" s="493">
        <f t="shared" si="12"/>
        <v>3.1930000000000001</v>
      </c>
      <c r="F79" s="493">
        <f t="shared" si="12"/>
        <v>4.2709999999999999</v>
      </c>
      <c r="G79" s="486">
        <f>SUM(G73:G78)</f>
        <v>4.598446364691867</v>
      </c>
      <c r="H79" s="486">
        <f t="shared" ref="H79:AJ79" si="13">SUM(H73:H78)</f>
        <v>5.0336181030136036</v>
      </c>
      <c r="I79" s="486">
        <f t="shared" si="13"/>
        <v>5.567505840121151</v>
      </c>
      <c r="J79" s="486">
        <f t="shared" si="13"/>
        <v>5.5997674660831116</v>
      </c>
      <c r="K79" s="486">
        <f t="shared" si="13"/>
        <v>5.9463656708342212</v>
      </c>
      <c r="L79" s="486">
        <f t="shared" si="13"/>
        <v>6.1520311072112248</v>
      </c>
      <c r="M79" s="486">
        <f t="shared" si="13"/>
        <v>6.162976450289638</v>
      </c>
      <c r="N79" s="486">
        <f t="shared" si="13"/>
        <v>6.1590641654369467</v>
      </c>
      <c r="O79" s="486">
        <f t="shared" si="13"/>
        <v>6.1587591923829246</v>
      </c>
      <c r="P79" s="486">
        <f t="shared" si="13"/>
        <v>6.1586771550685429</v>
      </c>
      <c r="Q79" s="486">
        <f t="shared" si="13"/>
        <v>6.1631877802023718</v>
      </c>
      <c r="R79" s="486">
        <f t="shared" si="13"/>
        <v>6.1649084963853973</v>
      </c>
      <c r="S79" s="486">
        <f t="shared" si="13"/>
        <v>6.1637511293402234</v>
      </c>
      <c r="T79" s="486">
        <f t="shared" si="13"/>
        <v>6.1636616496366585</v>
      </c>
      <c r="U79" s="486">
        <f t="shared" si="13"/>
        <v>6.1687636490033606</v>
      </c>
      <c r="V79" s="486">
        <f t="shared" si="13"/>
        <v>6.1767360256235975</v>
      </c>
      <c r="W79" s="486">
        <f t="shared" si="13"/>
        <v>6.1843299513963848</v>
      </c>
      <c r="X79" s="486">
        <f t="shared" si="13"/>
        <v>6.1878476102317634</v>
      </c>
      <c r="Y79" s="486">
        <f t="shared" si="13"/>
        <v>6.1945696691723908</v>
      </c>
      <c r="Z79" s="486">
        <f t="shared" si="13"/>
        <v>6.2009134118354492</v>
      </c>
      <c r="AA79" s="486">
        <f t="shared" si="13"/>
        <v>6.2097715412196672</v>
      </c>
      <c r="AB79" s="486">
        <f t="shared" si="13"/>
        <v>6.2173809018671422</v>
      </c>
      <c r="AC79" s="486">
        <f t="shared" si="13"/>
        <v>6.225460894667564</v>
      </c>
      <c r="AD79" s="486">
        <f t="shared" si="13"/>
        <v>6.2592819513380302</v>
      </c>
      <c r="AE79" s="486">
        <f t="shared" si="13"/>
        <v>6.2844286316543547</v>
      </c>
      <c r="AF79" s="486">
        <f t="shared" si="13"/>
        <v>6.7286267967930629</v>
      </c>
      <c r="AG79" s="486">
        <f t="shared" si="13"/>
        <v>7.2402168944284266</v>
      </c>
      <c r="AH79" s="486">
        <f t="shared" si="13"/>
        <v>7.380401506635244</v>
      </c>
      <c r="AI79" s="486">
        <f t="shared" si="13"/>
        <v>7.4344161910276769</v>
      </c>
      <c r="AJ79" s="486">
        <f t="shared" si="13"/>
        <v>7.521891616860418</v>
      </c>
      <c r="AK79" s="487"/>
      <c r="AM79" s="18" t="s">
        <v>58</v>
      </c>
      <c r="AN79" s="18">
        <v>1.6020000000000001</v>
      </c>
      <c r="AO79" s="18">
        <v>1.484</v>
      </c>
      <c r="AP79" s="18">
        <v>1.798</v>
      </c>
      <c r="AQ79" s="18">
        <v>3.1930000000000001</v>
      </c>
      <c r="AR79" s="18">
        <v>4.2709999999999999</v>
      </c>
    </row>
    <row r="80" spans="1:44" s="255" customFormat="1">
      <c r="A80" s="254" t="s">
        <v>57</v>
      </c>
      <c r="B80" s="474">
        <f>B79*1000</f>
        <v>1602</v>
      </c>
      <c r="C80" s="474">
        <f t="shared" ref="C80:AJ80" si="14">C79*1000</f>
        <v>1484</v>
      </c>
      <c r="D80" s="474">
        <f t="shared" si="14"/>
        <v>1798</v>
      </c>
      <c r="E80" s="474">
        <f t="shared" si="14"/>
        <v>3193</v>
      </c>
      <c r="F80" s="474">
        <f t="shared" si="14"/>
        <v>4271</v>
      </c>
      <c r="G80" s="276">
        <f t="shared" si="14"/>
        <v>4598.4463646918666</v>
      </c>
      <c r="H80" s="276">
        <f t="shared" si="14"/>
        <v>5033.618103013604</v>
      </c>
      <c r="I80" s="276">
        <f t="shared" si="14"/>
        <v>5567.5058401211509</v>
      </c>
      <c r="J80" s="276">
        <f t="shared" si="14"/>
        <v>5599.7674660831117</v>
      </c>
      <c r="K80" s="276">
        <f t="shared" si="14"/>
        <v>5946.3656708342214</v>
      </c>
      <c r="L80" s="276">
        <f t="shared" si="14"/>
        <v>6152.0311072112245</v>
      </c>
      <c r="M80" s="276">
        <f t="shared" si="14"/>
        <v>6162.9764502896378</v>
      </c>
      <c r="N80" s="276">
        <f t="shared" si="14"/>
        <v>6159.0641654369465</v>
      </c>
      <c r="O80" s="276">
        <f t="shared" si="14"/>
        <v>6158.759192382925</v>
      </c>
      <c r="P80" s="276">
        <f t="shared" si="14"/>
        <v>6158.6771550685426</v>
      </c>
      <c r="Q80" s="276">
        <f t="shared" si="14"/>
        <v>6163.1877802023719</v>
      </c>
      <c r="R80" s="276">
        <f t="shared" si="14"/>
        <v>6164.9084963853975</v>
      </c>
      <c r="S80" s="276">
        <f t="shared" si="14"/>
        <v>6163.7511293402231</v>
      </c>
      <c r="T80" s="276">
        <f t="shared" si="14"/>
        <v>6163.6616496366587</v>
      </c>
      <c r="U80" s="276">
        <f t="shared" si="14"/>
        <v>6168.763649003361</v>
      </c>
      <c r="V80" s="276">
        <f t="shared" si="14"/>
        <v>6176.736025623597</v>
      </c>
      <c r="W80" s="276">
        <f t="shared" si="14"/>
        <v>6184.3299513963848</v>
      </c>
      <c r="X80" s="276">
        <f t="shared" si="14"/>
        <v>6187.8476102317636</v>
      </c>
      <c r="Y80" s="276">
        <f t="shared" si="14"/>
        <v>6194.5696691723906</v>
      </c>
      <c r="Z80" s="276">
        <f t="shared" si="14"/>
        <v>6200.9134118354496</v>
      </c>
      <c r="AA80" s="276">
        <f t="shared" si="14"/>
        <v>6209.7715412196676</v>
      </c>
      <c r="AB80" s="276">
        <f t="shared" si="14"/>
        <v>6217.3809018671418</v>
      </c>
      <c r="AC80" s="276">
        <f t="shared" si="14"/>
        <v>6225.4608946675644</v>
      </c>
      <c r="AD80" s="276">
        <f t="shared" si="14"/>
        <v>6259.28195133803</v>
      </c>
      <c r="AE80" s="276">
        <f t="shared" si="14"/>
        <v>6284.4286316543548</v>
      </c>
      <c r="AF80" s="276">
        <f t="shared" si="14"/>
        <v>6728.6267967930626</v>
      </c>
      <c r="AG80" s="276">
        <f t="shared" si="14"/>
        <v>7240.2168944284267</v>
      </c>
      <c r="AH80" s="276">
        <f t="shared" si="14"/>
        <v>7380.401506635244</v>
      </c>
      <c r="AI80" s="276">
        <f t="shared" si="14"/>
        <v>7434.4161910276771</v>
      </c>
      <c r="AJ80" s="276">
        <f t="shared" si="14"/>
        <v>7521.8916168604183</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5.5342494744150358E-7</v>
      </c>
      <c r="H81" s="260">
        <f t="shared" si="15"/>
        <v>5.0421872212353554E-7</v>
      </c>
      <c r="I81" s="260">
        <f t="shared" si="15"/>
        <v>5.0898645905307596E-7</v>
      </c>
      <c r="J81" s="260">
        <f t="shared" si="15"/>
        <v>5.5350394075445921E-7</v>
      </c>
      <c r="K81" s="260">
        <f t="shared" si="15"/>
        <v>5.1732050787354324E-7</v>
      </c>
      <c r="L81" s="260">
        <f t="shared" si="15"/>
        <v>6.5009497864561383E-7</v>
      </c>
      <c r="M81" s="260">
        <f t="shared" si="15"/>
        <v>8.7029543349146186E-7</v>
      </c>
      <c r="N81" s="260">
        <f t="shared" si="15"/>
        <v>1.0144593611022147E-6</v>
      </c>
      <c r="O81" s="260">
        <f t="shared" si="15"/>
        <v>1.050861953857013E-6</v>
      </c>
      <c r="P81" s="260">
        <f t="shared" si="15"/>
        <v>1.0531701398240321E-6</v>
      </c>
      <c r="Q81" s="260">
        <f t="shared" si="15"/>
        <v>1.1288314995290086E-6</v>
      </c>
      <c r="R81" s="260">
        <f t="shared" ref="R81:AJ82" si="16">R74/SUM(R$74:R$78)</f>
        <v>1.2565932941245536E-6</v>
      </c>
      <c r="S81" s="260">
        <f t="shared" si="16"/>
        <v>1.4120732548024246E-6</v>
      </c>
      <c r="T81" s="260">
        <f t="shared" si="16"/>
        <v>1.5756131788123168E-6</v>
      </c>
      <c r="U81" s="260">
        <f t="shared" si="16"/>
        <v>1.7126662943644156E-6</v>
      </c>
      <c r="V81" s="260">
        <f t="shared" si="16"/>
        <v>1.8819577914360251E-6</v>
      </c>
      <c r="W81" s="260">
        <f t="shared" si="16"/>
        <v>2.0342688472279826E-6</v>
      </c>
      <c r="X81" s="260">
        <f t="shared" si="16"/>
        <v>2.1169017135613747E-6</v>
      </c>
      <c r="Y81" s="260">
        <f t="shared" si="16"/>
        <v>2.1362770745732899E-6</v>
      </c>
      <c r="Z81" s="260">
        <f t="shared" si="16"/>
        <v>2.2134290135586457E-6</v>
      </c>
      <c r="AA81" s="260">
        <f t="shared" si="16"/>
        <v>2.4109005186073413E-6</v>
      </c>
      <c r="AB81" s="260">
        <f t="shared" si="16"/>
        <v>2.7319663652269694E-6</v>
      </c>
      <c r="AC81" s="260">
        <f t="shared" si="16"/>
        <v>3.0077867518477221E-6</v>
      </c>
      <c r="AD81" s="260">
        <f t="shared" si="16"/>
        <v>3.2675259540637151E-6</v>
      </c>
      <c r="AE81" s="260">
        <f t="shared" si="16"/>
        <v>3.329399911739694E-6</v>
      </c>
      <c r="AF81" s="260">
        <f t="shared" si="16"/>
        <v>3.1362781719759171E-6</v>
      </c>
      <c r="AG81" s="260">
        <f t="shared" si="16"/>
        <v>2.9259058761323692E-6</v>
      </c>
      <c r="AH81" s="260">
        <f t="shared" si="16"/>
        <v>2.9280352428426088E-6</v>
      </c>
      <c r="AI81" s="260">
        <f t="shared" si="16"/>
        <v>2.9787939264415955E-6</v>
      </c>
      <c r="AJ81" s="260">
        <f t="shared" si="16"/>
        <v>2.9482515548519801E-6</v>
      </c>
      <c r="AK81" s="322"/>
    </row>
    <row r="82" spans="1:37" s="256" customFormat="1">
      <c r="A82" s="257" t="s">
        <v>340</v>
      </c>
      <c r="B82" s="260">
        <f t="shared" si="15"/>
        <v>0</v>
      </c>
      <c r="C82" s="260">
        <f t="shared" ref="C82:AA82" si="17">C75/SUM(C$74:C$78)</f>
        <v>0</v>
      </c>
      <c r="D82" s="260">
        <f t="shared" si="17"/>
        <v>0</v>
      </c>
      <c r="E82" s="260">
        <f t="shared" si="17"/>
        <v>0</v>
      </c>
      <c r="F82" s="260">
        <f t="shared" si="17"/>
        <v>0</v>
      </c>
      <c r="G82" s="260">
        <f t="shared" si="17"/>
        <v>1.9550158276135542E-7</v>
      </c>
      <c r="H82" s="260">
        <f t="shared" si="17"/>
        <v>2.010198208791299E-7</v>
      </c>
      <c r="I82" s="260">
        <f t="shared" si="17"/>
        <v>2.0383188253776742E-7</v>
      </c>
      <c r="J82" s="260">
        <f t="shared" si="17"/>
        <v>1.8161994556000264E-7</v>
      </c>
      <c r="K82" s="260">
        <f t="shared" si="17"/>
        <v>1.8970046798864848E-7</v>
      </c>
      <c r="L82" s="260">
        <f t="shared" si="17"/>
        <v>1.6360944964632543E-7</v>
      </c>
      <c r="M82" s="260">
        <f t="shared" si="17"/>
        <v>1.8173219244378114E-7</v>
      </c>
      <c r="N82" s="260">
        <f t="shared" si="17"/>
        <v>1.4287365292156763E-7</v>
      </c>
      <c r="O82" s="260">
        <f t="shared" si="17"/>
        <v>1.8454234959119549E-7</v>
      </c>
      <c r="P82" s="261">
        <f t="shared" si="17"/>
        <v>2.0342257183999859E-7</v>
      </c>
      <c r="Q82" s="260">
        <f t="shared" si="17"/>
        <v>1.8456265287712781E-7</v>
      </c>
      <c r="R82" s="260">
        <f t="shared" si="17"/>
        <v>1.6379296622095344E-7</v>
      </c>
      <c r="S82" s="260">
        <f t="shared" si="17"/>
        <v>1.8271141834997293E-7</v>
      </c>
      <c r="T82" s="260">
        <f t="shared" si="17"/>
        <v>2.0404474882263714E-7</v>
      </c>
      <c r="U82" s="260">
        <f t="shared" si="17"/>
        <v>1.6327473477949372E-7</v>
      </c>
      <c r="V82" s="260">
        <f t="shared" si="17"/>
        <v>1.8158160887095469E-7</v>
      </c>
      <c r="W82" s="260">
        <f t="shared" si="17"/>
        <v>1.8122789685963739E-7</v>
      </c>
      <c r="X82" s="260">
        <f t="shared" si="17"/>
        <v>1.8362271791060961E-7</v>
      </c>
      <c r="Y82" s="260">
        <f t="shared" si="17"/>
        <v>1.6016218517264732E-7</v>
      </c>
      <c r="Z82" s="260">
        <f t="shared" si="17"/>
        <v>1.607927827094442E-7</v>
      </c>
      <c r="AA82" s="260">
        <f t="shared" si="17"/>
        <v>1.8153458450221289E-7</v>
      </c>
      <c r="AB82" s="260">
        <f t="shared" si="16"/>
        <v>1.5920377011577023E-7</v>
      </c>
      <c r="AC82" s="260">
        <f t="shared" si="16"/>
        <v>1.7976999509891175E-7</v>
      </c>
      <c r="AD82" s="260">
        <f t="shared" si="16"/>
        <v>1.7888390269053606E-7</v>
      </c>
      <c r="AE82" s="260">
        <f t="shared" si="16"/>
        <v>1.5692512093140838E-7</v>
      </c>
      <c r="AF82" s="260">
        <f t="shared" si="16"/>
        <v>1.6412301080458853E-7</v>
      </c>
      <c r="AG82" s="260">
        <f t="shared" si="16"/>
        <v>1.3315682360340708E-7</v>
      </c>
      <c r="AH82" s="260">
        <f t="shared" si="16"/>
        <v>1.3047420840952854E-7</v>
      </c>
      <c r="AI82" s="260">
        <f t="shared" si="16"/>
        <v>1.2941675781845153E-7</v>
      </c>
      <c r="AJ82" s="260">
        <f t="shared" si="16"/>
        <v>1.3033168367848252E-7</v>
      </c>
      <c r="AK82" s="322"/>
    </row>
    <row r="83" spans="1:37" s="256" customFormat="1">
      <c r="A83" s="257" t="s">
        <v>336</v>
      </c>
      <c r="B83" s="260">
        <f>B76/SUM(B$74:B$78)</f>
        <v>0</v>
      </c>
      <c r="C83" s="260">
        <f t="shared" ref="C83:AJ83" si="18">C76/SUM(C$74:C$78)</f>
        <v>0</v>
      </c>
      <c r="D83" s="260">
        <f t="shared" si="18"/>
        <v>0</v>
      </c>
      <c r="E83" s="260">
        <f t="shared" si="18"/>
        <v>0</v>
      </c>
      <c r="F83" s="260">
        <f t="shared" si="18"/>
        <v>0</v>
      </c>
      <c r="G83" s="260">
        <f t="shared" si="18"/>
        <v>7.3777606545065663E-7</v>
      </c>
      <c r="H83" s="260">
        <f t="shared" si="18"/>
        <v>6.2571508674624564E-7</v>
      </c>
      <c r="I83" s="260">
        <f t="shared" si="18"/>
        <v>5.2262234267524919E-7</v>
      </c>
      <c r="J83" s="260">
        <f t="shared" si="18"/>
        <v>5.5676998404156049E-7</v>
      </c>
      <c r="K83" s="260">
        <f t="shared" si="18"/>
        <v>5.1585809594485597E-7</v>
      </c>
      <c r="L83" s="260">
        <f t="shared" si="18"/>
        <v>5.3864535250090871E-7</v>
      </c>
      <c r="M83" s="260">
        <f t="shared" si="18"/>
        <v>5.895539875187164E-7</v>
      </c>
      <c r="N83" s="260">
        <f t="shared" si="18"/>
        <v>7.2039013861874818E-7</v>
      </c>
      <c r="O83" s="260">
        <f t="shared" si="18"/>
        <v>8.0379951760277605E-7</v>
      </c>
      <c r="P83" s="261">
        <f t="shared" si="18"/>
        <v>8.1803600622100678E-7</v>
      </c>
      <c r="Q83" s="260">
        <f t="shared" si="18"/>
        <v>8.5826931486972239E-7</v>
      </c>
      <c r="R83" s="260">
        <f t="shared" si="18"/>
        <v>8.7810836183196535E-7</v>
      </c>
      <c r="S83" s="260">
        <f t="shared" si="18"/>
        <v>8.9274462367001156E-7</v>
      </c>
      <c r="T83" s="260">
        <f t="shared" si="18"/>
        <v>9.2263114389962127E-7</v>
      </c>
      <c r="U83" s="260">
        <f t="shared" si="18"/>
        <v>9.3314533088451618E-7</v>
      </c>
      <c r="V83" s="260">
        <f t="shared" si="18"/>
        <v>9.8516609012916546E-7</v>
      </c>
      <c r="W83" s="260">
        <f t="shared" si="18"/>
        <v>1.0039458031539218E-6</v>
      </c>
      <c r="X83" s="260">
        <f t="shared" si="18"/>
        <v>1.0115300324078663E-6</v>
      </c>
      <c r="Y83" s="260">
        <f t="shared" si="18"/>
        <v>1.0284796716481007E-6</v>
      </c>
      <c r="Z83" s="260">
        <f t="shared" si="18"/>
        <v>1.0417954983467635E-6</v>
      </c>
      <c r="AA83" s="260">
        <f t="shared" si="18"/>
        <v>1.0583661764394604E-6</v>
      </c>
      <c r="AB83" s="260">
        <f t="shared" si="18"/>
        <v>1.1187011868854766E-6</v>
      </c>
      <c r="AC83" s="260">
        <f t="shared" si="18"/>
        <v>1.1372939853561032E-6</v>
      </c>
      <c r="AD83" s="260">
        <f t="shared" si="18"/>
        <v>1.15579958371769E-6</v>
      </c>
      <c r="AE83" s="260">
        <f t="shared" si="18"/>
        <v>1.1781405954293254E-6</v>
      </c>
      <c r="AF83" s="260">
        <f t="shared" si="18"/>
        <v>1.1116628142994582E-6</v>
      </c>
      <c r="AG83" s="260">
        <f t="shared" si="18"/>
        <v>1.0658517540718736E-6</v>
      </c>
      <c r="AH83" s="260">
        <f t="shared" si="18"/>
        <v>1.0650450871893048E-6</v>
      </c>
      <c r="AI83" s="260">
        <f t="shared" si="18"/>
        <v>1.0847733227162356E-6</v>
      </c>
      <c r="AJ83" s="260">
        <f t="shared" si="18"/>
        <v>1.0994136242791006E-6</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1</v>
      </c>
      <c r="C85" s="260">
        <f t="shared" ref="C85:AJ85" si="20">C78/SUM(C$74:C$78)</f>
        <v>1</v>
      </c>
      <c r="D85" s="260">
        <f t="shared" si="20"/>
        <v>1</v>
      </c>
      <c r="E85" s="260">
        <f t="shared" si="20"/>
        <v>1</v>
      </c>
      <c r="F85" s="260">
        <f t="shared" si="20"/>
        <v>1</v>
      </c>
      <c r="G85" s="260">
        <f t="shared" si="20"/>
        <v>0.9999985132974043</v>
      </c>
      <c r="H85" s="260">
        <f t="shared" si="20"/>
        <v>0.99999866904637025</v>
      </c>
      <c r="I85" s="260">
        <f t="shared" si="20"/>
        <v>0.9999987645593158</v>
      </c>
      <c r="J85" s="260">
        <f t="shared" si="20"/>
        <v>0.99999870810612967</v>
      </c>
      <c r="K85" s="260">
        <f t="shared" si="20"/>
        <v>0.99999877712092822</v>
      </c>
      <c r="L85" s="260">
        <f t="shared" si="20"/>
        <v>0.99999864765021917</v>
      </c>
      <c r="M85" s="260">
        <f t="shared" si="20"/>
        <v>0.99999835841838647</v>
      </c>
      <c r="N85" s="260">
        <f t="shared" si="20"/>
        <v>0.99999812227684737</v>
      </c>
      <c r="O85" s="260">
        <f t="shared" si="20"/>
        <v>0.99999796079617898</v>
      </c>
      <c r="P85" s="261">
        <f t="shared" si="20"/>
        <v>0.99999792537128207</v>
      </c>
      <c r="Q85" s="260">
        <f t="shared" si="20"/>
        <v>0.99999782833653272</v>
      </c>
      <c r="R85" s="260">
        <f t="shared" si="20"/>
        <v>0.99999770150537781</v>
      </c>
      <c r="S85" s="260">
        <f t="shared" si="20"/>
        <v>0.99999751247070323</v>
      </c>
      <c r="T85" s="260">
        <f t="shared" si="20"/>
        <v>0.99999729771092849</v>
      </c>
      <c r="U85" s="260">
        <f t="shared" si="20"/>
        <v>0.99999719091363992</v>
      </c>
      <c r="V85" s="260">
        <f t="shared" si="20"/>
        <v>0.9999969512945095</v>
      </c>
      <c r="W85" s="260">
        <f t="shared" si="20"/>
        <v>0.99999678055745278</v>
      </c>
      <c r="X85" s="260">
        <f t="shared" si="20"/>
        <v>0.99999668794553609</v>
      </c>
      <c r="Y85" s="260">
        <f t="shared" si="20"/>
        <v>0.99999667508106849</v>
      </c>
      <c r="Z85" s="260">
        <f t="shared" si="20"/>
        <v>0.99999658398270541</v>
      </c>
      <c r="AA85" s="260">
        <f t="shared" si="20"/>
        <v>0.99999634919872049</v>
      </c>
      <c r="AB85" s="260">
        <f t="shared" si="20"/>
        <v>0.99999599012867768</v>
      </c>
      <c r="AC85" s="260">
        <f t="shared" si="20"/>
        <v>0.99999567514926779</v>
      </c>
      <c r="AD85" s="260">
        <f t="shared" si="20"/>
        <v>0.99999539779055957</v>
      </c>
      <c r="AE85" s="260">
        <f t="shared" si="20"/>
        <v>0.99999533553437192</v>
      </c>
      <c r="AF85" s="260">
        <f t="shared" si="20"/>
        <v>0.99999558793600285</v>
      </c>
      <c r="AG85" s="260">
        <f t="shared" si="20"/>
        <v>0.99999587508554622</v>
      </c>
      <c r="AH85" s="260">
        <f t="shared" si="20"/>
        <v>0.99999587644546151</v>
      </c>
      <c r="AI85" s="260">
        <f t="shared" si="20"/>
        <v>0.99999580701599311</v>
      </c>
      <c r="AJ85" s="260">
        <f t="shared" si="20"/>
        <v>0.99999582200313719</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1</v>
      </c>
      <c r="I86" s="260">
        <f t="shared" si="21"/>
        <v>1</v>
      </c>
      <c r="J86" s="260">
        <f t="shared" si="21"/>
        <v>1</v>
      </c>
      <c r="K86" s="260">
        <f t="shared" si="21"/>
        <v>1</v>
      </c>
      <c r="L86" s="260">
        <f t="shared" si="21"/>
        <v>1</v>
      </c>
      <c r="M86" s="260">
        <f t="shared" si="21"/>
        <v>0.99999999999999989</v>
      </c>
      <c r="N86" s="260">
        <f t="shared" si="21"/>
        <v>1</v>
      </c>
      <c r="O86" s="260">
        <f t="shared" si="21"/>
        <v>1</v>
      </c>
      <c r="P86" s="260">
        <f t="shared" si="21"/>
        <v>1</v>
      </c>
      <c r="Q86" s="260">
        <f t="shared" si="21"/>
        <v>1</v>
      </c>
      <c r="R86" s="260">
        <f t="shared" si="21"/>
        <v>1</v>
      </c>
      <c r="S86" s="260">
        <f t="shared" si="21"/>
        <v>1</v>
      </c>
      <c r="T86" s="260">
        <f t="shared" si="21"/>
        <v>1</v>
      </c>
      <c r="U86" s="260">
        <f t="shared" si="21"/>
        <v>1</v>
      </c>
      <c r="V86" s="260">
        <f t="shared" si="21"/>
        <v>0.99999999999999989</v>
      </c>
      <c r="W86" s="260">
        <f t="shared" si="21"/>
        <v>1</v>
      </c>
      <c r="X86" s="260">
        <f t="shared" si="21"/>
        <v>1</v>
      </c>
      <c r="Y86" s="260">
        <f t="shared" si="21"/>
        <v>0.99999999999999989</v>
      </c>
      <c r="Z86" s="260">
        <f t="shared" si="21"/>
        <v>1</v>
      </c>
      <c r="AA86" s="260">
        <f t="shared" si="21"/>
        <v>1</v>
      </c>
      <c r="AB86" s="260">
        <f t="shared" si="21"/>
        <v>0.99999999999999989</v>
      </c>
      <c r="AC86" s="260">
        <f t="shared" si="21"/>
        <v>1</v>
      </c>
      <c r="AD86" s="260">
        <f t="shared" si="21"/>
        <v>1</v>
      </c>
      <c r="AE86" s="260">
        <f t="shared" si="21"/>
        <v>1</v>
      </c>
      <c r="AF86" s="260">
        <f t="shared" si="21"/>
        <v>0.99999999999999989</v>
      </c>
      <c r="AG86" s="260">
        <f t="shared" si="21"/>
        <v>1</v>
      </c>
      <c r="AH86" s="260">
        <f t="shared" si="21"/>
        <v>1</v>
      </c>
      <c r="AI86" s="260">
        <f t="shared" si="21"/>
        <v>1</v>
      </c>
      <c r="AJ86" s="260">
        <f t="shared" si="21"/>
        <v>1</v>
      </c>
      <c r="AK86" s="322"/>
    </row>
    <row r="87" spans="1:37">
      <c r="A87" s="564" t="s">
        <v>632</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row>
    <row r="88" spans="1:37">
      <c r="A88" s="565" t="s">
        <v>665</v>
      </c>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row>
    <row r="89" spans="1:37">
      <c r="A89" s="565" t="s">
        <v>666</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row>
    <row r="90" spans="1:37">
      <c r="A90" s="565" t="s">
        <v>667</v>
      </c>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row>
    <row r="91" spans="1:37">
      <c r="A91" s="565" t="s">
        <v>668</v>
      </c>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row>
    <row r="92" spans="1:37">
      <c r="A92" s="565" t="s">
        <v>669</v>
      </c>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row>
    <row r="93" spans="1:37">
      <c r="A93" s="565" t="s">
        <v>670</v>
      </c>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row>
    <row r="94" spans="1:37">
      <c r="A94" s="565" t="s">
        <v>671</v>
      </c>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row>
    <row r="95" spans="1:37">
      <c r="A95" s="565" t="s">
        <v>672</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row>
    <row r="96" spans="1:37">
      <c r="A96" s="565" t="s">
        <v>673</v>
      </c>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row>
    <row r="97" spans="1:32">
      <c r="A97" s="565" t="s">
        <v>674</v>
      </c>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row>
    <row r="98" spans="1:32">
      <c r="A98" s="565" t="s">
        <v>675</v>
      </c>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row>
    <row r="99" spans="1:32">
      <c r="A99" s="565" t="s">
        <v>676</v>
      </c>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row>
    <row r="100" spans="1:32">
      <c r="A100" s="565" t="s">
        <v>677</v>
      </c>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row>
    <row r="101" spans="1:32">
      <c r="A101" s="565" t="s">
        <v>678</v>
      </c>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row>
    <row r="102" spans="1:32">
      <c r="A102" s="565" t="s">
        <v>679</v>
      </c>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row>
    <row r="103" spans="1:32">
      <c r="A103" s="565" t="s">
        <v>680</v>
      </c>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row>
    <row r="104" spans="1:32">
      <c r="A104" s="565" t="s">
        <v>681</v>
      </c>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row>
    <row r="105" spans="1:32">
      <c r="A105" s="565" t="s">
        <v>682</v>
      </c>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row>
    <row r="106" spans="1:32">
      <c r="A106" s="565" t="s">
        <v>683</v>
      </c>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row>
    <row r="107" spans="1:32">
      <c r="A107" s="565" t="s">
        <v>684</v>
      </c>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row>
    <row r="108" spans="1:32">
      <c r="A108" s="565" t="s">
        <v>636</v>
      </c>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row>
    <row r="109" spans="1:32">
      <c r="A109" s="565" t="s">
        <v>685</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2">
      <c r="A110" s="565" t="s">
        <v>686</v>
      </c>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row>
    <row r="111" spans="1:32">
      <c r="A111" s="565" t="s">
        <v>643</v>
      </c>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row>
    <row r="112" spans="1:32">
      <c r="A112" s="565" t="s">
        <v>644</v>
      </c>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row>
    <row r="113" spans="1:32">
      <c r="A113" s="565" t="s">
        <v>645</v>
      </c>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row>
    <row r="114" spans="1:32">
      <c r="A114" s="565" t="s">
        <v>687</v>
      </c>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row>
    <row r="115" spans="1:32">
      <c r="A115" s="565" t="s">
        <v>688</v>
      </c>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row>
    <row r="116" spans="1:32">
      <c r="A116" s="565" t="s">
        <v>620</v>
      </c>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row>
    <row r="117" spans="1:32">
      <c r="A117" s="565" t="s">
        <v>621</v>
      </c>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row>
    <row r="118" spans="1:32">
      <c r="A118" s="565" t="s">
        <v>622</v>
      </c>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row>
    <row r="119" spans="1:32">
      <c r="A119" s="565" t="s">
        <v>689</v>
      </c>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row>
    <row r="120" spans="1:32">
      <c r="A120" s="565" t="s">
        <v>690</v>
      </c>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row>
    <row r="121" spans="1:32">
      <c r="A121" s="565" t="s">
        <v>624</v>
      </c>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row>
    <row r="122" spans="1:32">
      <c r="A122" s="565" t="s">
        <v>627</v>
      </c>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row>
  </sheetData>
  <mergeCells count="36">
    <mergeCell ref="A122:AF122"/>
    <mergeCell ref="A117:AF117"/>
    <mergeCell ref="A118:AF118"/>
    <mergeCell ref="A119:AF119"/>
    <mergeCell ref="A120:AF120"/>
    <mergeCell ref="A121:AF121"/>
    <mergeCell ref="A112:AF112"/>
    <mergeCell ref="A113:AF113"/>
    <mergeCell ref="A114:AF114"/>
    <mergeCell ref="A115:AF115"/>
    <mergeCell ref="A116:AF116"/>
    <mergeCell ref="A107:AF107"/>
    <mergeCell ref="A108:AF108"/>
    <mergeCell ref="A109:AF109"/>
    <mergeCell ref="A110:AF110"/>
    <mergeCell ref="A111:AF111"/>
    <mergeCell ref="A102:AF102"/>
    <mergeCell ref="A103:AF103"/>
    <mergeCell ref="A104:AF104"/>
    <mergeCell ref="A105:AF105"/>
    <mergeCell ref="A106:AF106"/>
    <mergeCell ref="A97:AF97"/>
    <mergeCell ref="A98:AF98"/>
    <mergeCell ref="A99:AF99"/>
    <mergeCell ref="A100:AF100"/>
    <mergeCell ref="A101:AF101"/>
    <mergeCell ref="A92:AF92"/>
    <mergeCell ref="A93:AF93"/>
    <mergeCell ref="A94:AF94"/>
    <mergeCell ref="A95:AF95"/>
    <mergeCell ref="A96:AF96"/>
    <mergeCell ref="A87:AF87"/>
    <mergeCell ref="A88:AF88"/>
    <mergeCell ref="A89:AF89"/>
    <mergeCell ref="A90:AF90"/>
    <mergeCell ref="A91:AF9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2015-02-19T01:08:03Z</dcterms:modified>
</cp:coreProperties>
</file>